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65" yWindow="180" windowWidth="9060" windowHeight="4590" tabRatio="871" activeTab="0"/>
  </bookViews>
  <sheets>
    <sheet name="Direct Staffing" sheetId="1" r:id="rId1"/>
    <sheet name="Program Plan Support" sheetId="2" r:id="rId2"/>
    <sheet name="Emp. Related Exp." sheetId="3" r:id="rId3"/>
    <sheet name="Client Programming &amp; Supports" sheetId="4" r:id="rId4"/>
    <sheet name="Program Facility" sheetId="5" r:id="rId5"/>
    <sheet name="Program Related Expenses" sheetId="6" r:id="rId6"/>
    <sheet name="Regional Variance Factor" sheetId="7" r:id="rId7"/>
    <sheet name="Prevoc Rate Framework" sheetId="8" r:id="rId8"/>
    <sheet name="Version" sheetId="9" state="hidden" r:id="rId9"/>
  </sheets>
  <definedNames>
    <definedName name="Budget_Neutrality">'Prevoc Rate Framework'!$A$26:$B$27</definedName>
    <definedName name="columntitleregion1.b14.g20.1">'Direct Staffing'!$A$13:$E$15</definedName>
    <definedName name="Customization">'Direct Staffing'!$A$12:$F$15</definedName>
    <definedName name="DirectStaff">'Direct Staffing'!$A$4:$F$6</definedName>
    <definedName name="LPN_Hours">'Direct Staffing'!$A$17:$D$19</definedName>
    <definedName name="_xlnm.Print_Area" localSheetId="1">'Program Plan Support'!$A$1:$C$9</definedName>
    <definedName name="Relief_Staff">'Direct Staffing'!$A$25:$D$27</definedName>
    <definedName name="RN_Hours">'Direct Staffing'!$A$21:$D$23</definedName>
    <definedName name="Supervision">'Direct Staffing'!$A$8:$F$10</definedName>
    <definedName name="titleregion1.b5.g6.1">'Direct Staffing'!$A$5:$F$6</definedName>
    <definedName name="titleregion2.b9.g11.1">'Direct Staffing'!$A$9:$F$10</definedName>
    <definedName name="TotalStaffing">'Direct Staffing'!$A$29:$C$30</definedName>
  </definedNames>
  <calcPr fullCalcOnLoad="1"/>
</workbook>
</file>

<file path=xl/sharedStrings.xml><?xml version="1.0" encoding="utf-8"?>
<sst xmlns="http://schemas.openxmlformats.org/spreadsheetml/2006/main" count="343" uniqueCount="248">
  <si>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</si>
  <si>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</si>
  <si>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</si>
  <si>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</si>
  <si>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</si>
  <si>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</si>
  <si>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</si>
  <si>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</si>
  <si>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</si>
  <si>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</si>
  <si>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General and Administrative Support %</t>
  </si>
  <si>
    <t>Direct Staffing</t>
  </si>
  <si>
    <t>Total G&amp;A Standard</t>
  </si>
  <si>
    <t>G&amp;A</t>
  </si>
  <si>
    <t>Add-on $</t>
  </si>
  <si>
    <t>Add-on Choice</t>
  </si>
  <si>
    <t>Wage</t>
  </si>
  <si>
    <t>Dollar Amount</t>
  </si>
  <si>
    <t>Direct Care Staffing:</t>
  </si>
  <si>
    <t>Benefit Description</t>
  </si>
  <si>
    <t xml:space="preserve">Benefit % </t>
  </si>
  <si>
    <t>Step 1. Add in standard employment related expense percentage</t>
  </si>
  <si>
    <t>%</t>
  </si>
  <si>
    <t xml:space="preserve">INDIVIDUAL STAFFING </t>
  </si>
  <si>
    <t>Staffing Customization Options</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</si>
  <si>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</si>
  <si>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</si>
  <si>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</si>
  <si>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</si>
  <si>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</si>
  <si>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</si>
  <si>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</si>
  <si>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</si>
  <si>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Documentation</t>
  </si>
  <si>
    <t>Direct staff preparation and service planning</t>
  </si>
  <si>
    <t>Client Programming and Supports</t>
  </si>
  <si>
    <t>Client Programming and Supports Standard</t>
  </si>
  <si>
    <t>Standard %</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</si>
  <si>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</si>
  <si>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</si>
  <si>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</si>
  <si>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</si>
  <si>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</si>
  <si>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</si>
  <si>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</si>
  <si>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 xml:space="preserve">Step 1. Add wage for direct staff </t>
  </si>
  <si>
    <t xml:space="preserve">         </t>
  </si>
  <si>
    <t xml:space="preserve">                                                                                                  </t>
  </si>
  <si>
    <t>Program Facility</t>
  </si>
  <si>
    <t xml:space="preserve">  </t>
  </si>
  <si>
    <t>Deaf or hard of hearing</t>
  </si>
  <si>
    <t>Total %</t>
  </si>
  <si>
    <t>Total Percentage</t>
  </si>
  <si>
    <t>Total Client Programming and Supports percentage</t>
  </si>
  <si>
    <t>Step 1: Calculate a flat rate/person based on staffing ratio</t>
  </si>
  <si>
    <t>Staffing Ratio</t>
  </si>
  <si>
    <t>1:1</t>
  </si>
  <si>
    <t>1:2</t>
  </si>
  <si>
    <t>1:3</t>
  </si>
  <si>
    <t>1:4</t>
  </si>
  <si>
    <t>1:6</t>
  </si>
  <si>
    <t>1:8</t>
  </si>
  <si>
    <t>1:10</t>
  </si>
  <si>
    <t>Direct Staff</t>
  </si>
  <si>
    <t>Total % of program support</t>
  </si>
  <si>
    <t>Program Support standard</t>
  </si>
  <si>
    <t>Program Facility cost</t>
  </si>
  <si>
    <t>Standard G&amp;A</t>
  </si>
  <si>
    <t>Program G&amp;A</t>
  </si>
  <si>
    <t>Dental insurance</t>
  </si>
  <si>
    <t>Percentage of direct care to cover staffing benefits</t>
  </si>
  <si>
    <t>Step 2. Total Client Programming and Supports percentage</t>
  </si>
  <si>
    <t>Program Related Expenses</t>
  </si>
  <si>
    <t>Step 1. Add in standard general and administrative support percentage</t>
  </si>
  <si>
    <t>Utilization Factor</t>
  </si>
  <si>
    <t>Total Program Related Expenses percentage</t>
  </si>
  <si>
    <t>1:5</t>
  </si>
  <si>
    <t>1:7</t>
  </si>
  <si>
    <t>1:9</t>
  </si>
  <si>
    <t>Rate Calculation:</t>
  </si>
  <si>
    <t>Step 3. Add staffing customization option to meet high level needs provided to an individual</t>
  </si>
  <si>
    <t>* Total Employee Related Expense Percentage</t>
  </si>
  <si>
    <t>Step 2. Add hours for Supervision</t>
  </si>
  <si>
    <t>Direct Staff Supervision</t>
  </si>
  <si>
    <t>No Customization</t>
  </si>
  <si>
    <t>Supervision Percent</t>
  </si>
  <si>
    <t>Budget Neutrality Factor</t>
  </si>
  <si>
    <t>RN</t>
  </si>
  <si>
    <t>LPN</t>
  </si>
  <si>
    <t>FRAMEWORK FOR PREVOCATIONAL SERVICES</t>
  </si>
  <si>
    <t xml:space="preserve">Direct Staff Hours </t>
  </si>
  <si>
    <t>Total cost</t>
  </si>
  <si>
    <t>Pro-rated cost of staff per Hour</t>
  </si>
  <si>
    <t>Supervision Hours</t>
  </si>
  <si>
    <t>Total cost per Hour</t>
  </si>
  <si>
    <t>Customization Hours</t>
  </si>
  <si>
    <t>Staffing Customization Amount per Hour</t>
  </si>
  <si>
    <t>RN Hours</t>
  </si>
  <si>
    <t>Amount per Hour</t>
  </si>
  <si>
    <t>LPN Hours</t>
  </si>
  <si>
    <t>Total costs for staffing per hour</t>
  </si>
  <si>
    <t>Rate per person per Hour</t>
  </si>
  <si>
    <t>Hourly Facility Cost</t>
  </si>
  <si>
    <t>Direct service staff necessary to support and related to the provision of Prevocational Services when not engaged in direct contact with clients.</t>
  </si>
  <si>
    <t xml:space="preserve">Category to cover costs to provide participants access to the community or care in their program.  Examples include, but are not limited to:
- Participation costs for staff   
- Reinforcers as defined in the participant’s support plan 
- Transportation provided as part of Prevocational Services to provide in-program transportation for the participant to increase access to the community outside the Prevocational Services location                                                                 - State plan or other available waiver services must be accessed first, and those services must be billed separately.
</t>
  </si>
  <si>
    <t>Step 4.  Add hours for LPN</t>
  </si>
  <si>
    <t>Step 5.  Add hours for RN</t>
  </si>
  <si>
    <t>Step 6.  Add % to cover vacation, sick and training for individual direct staff hours</t>
  </si>
  <si>
    <t>Step 7. Calculate daily individual staffing</t>
  </si>
  <si>
    <t>Implementation version</t>
  </si>
  <si>
    <t>update order of RN/LPN fields to match RMS</t>
  </si>
  <si>
    <t>updated to reflect 4/1/2014 COLA of 1%</t>
  </si>
  <si>
    <t>Update</t>
  </si>
  <si>
    <t>Date</t>
  </si>
  <si>
    <t>4/1/2014 COLA</t>
  </si>
  <si>
    <t>Cost of Living Adjustment</t>
  </si>
  <si>
    <t>Pre COLA Total Rate</t>
  </si>
  <si>
    <t>updated to reflect 7/1/2014 COLA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</si>
  <si>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</si>
  <si>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</si>
  <si>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</si>
  <si>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</si>
  <si>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</si>
  <si>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</si>
  <si>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</si>
  <si>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</si>
  <si>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</si>
  <si>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</si>
  <si>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</si>
  <si>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</si>
  <si>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</si>
  <si>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</si>
  <si>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</si>
  <si>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</si>
  <si>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</si>
  <si>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</si>
  <si>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</si>
  <si>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</si>
  <si>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</si>
  <si>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</si>
  <si>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</si>
  <si>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</si>
  <si>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</si>
  <si>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</si>
  <si>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</si>
  <si>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</si>
  <si>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</si>
  <si>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</si>
  <si>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</si>
  <si>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</si>
  <si>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</si>
  <si>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</si>
  <si>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</si>
  <si>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</si>
  <si>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</si>
  <si>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</si>
  <si>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</si>
  <si>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</si>
  <si>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</si>
  <si>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</si>
  <si>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</si>
  <si>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</si>
  <si>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</si>
  <si>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</si>
  <si>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</si>
  <si>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</si>
  <si>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</si>
  <si>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</si>
  <si>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</si>
  <si>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</si>
  <si>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</si>
  <si>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</si>
  <si>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</si>
  <si>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</si>
  <si>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</si>
  <si>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</si>
  <si>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</si>
  <si>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</si>
  <si>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</si>
  <si>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</si>
  <si>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</si>
  <si>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</si>
  <si>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</si>
  <si>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</si>
  <si>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</si>
  <si>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</si>
  <si>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</si>
  <si>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</si>
  <si>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</si>
  <si>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</si>
  <si>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</si>
  <si>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</si>
  <si>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</si>
  <si>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</si>
  <si>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</si>
  <si>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</si>
  <si>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</si>
  <si>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</si>
  <si>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</si>
  <si>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</si>
  <si>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</si>
  <si>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</si>
  <si>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</si>
  <si>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</si>
  <si>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</si>
  <si>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</si>
  <si>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</si>
  <si>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</si>
  <si>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</si>
  <si>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</si>
  <si>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</si>
  <si>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</si>
  <si>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</si>
  <si>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</si>
  <si>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</si>
  <si>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</si>
  <si>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</si>
  <si>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</si>
  <si>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</si>
  <si>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</si>
  <si>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</si>
  <si>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</si>
  <si>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</si>
  <si>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</si>
  <si>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</si>
  <si>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</si>
  <si>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</si>
  <si>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</si>
  <si>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</si>
  <si>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</si>
  <si>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</si>
  <si>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</si>
  <si>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</si>
  <si>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</si>
  <si>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</si>
  <si>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</si>
  <si>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</si>
  <si>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</si>
  <si>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Hourly Unit Rate</t>
  </si>
  <si>
    <t>Daily Budget Neutrality</t>
  </si>
  <si>
    <t>Original Total Daily Rate</t>
  </si>
  <si>
    <t>Post COLA Total Daily Rate</t>
  </si>
  <si>
    <t>Regional Variance Factor added</t>
  </si>
  <si>
    <t>Version 5</t>
  </si>
  <si>
    <t>Version 6</t>
  </si>
  <si>
    <t>Budget Neutrality Factor change from 100% to 105.1%</t>
  </si>
  <si>
    <t>Facilty Use charge changed from $19.30 to xyz</t>
  </si>
  <si>
    <t>Added data validation to LPN and RN unit fields to allow for a maximum input of 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</si>
</sst>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trik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style="thin"/>
      <top/>
      <bottom/>
    </border>
    <border>
      <left style="thin"/>
      <right/>
      <top style="thin"/>
      <bottom style="thin"/>
    </border>
    <border>
      <left style="thin"/>
      <right style="thin"/>
      <top style="thin"/>
      <bottom/>
    </border>
    <border>
      <left style="thin"/>
      <right/>
      <top style="medium"/>
      <bottom/>
    </border>
    <border>
      <left style="medium"/>
      <right/>
      <top style="thin"/>
      <bottom style="thin"/>
    </border>
    <border>
      <left style="medium"/>
      <right/>
      <top style="thin"/>
      <bottom style="medium"/>
    </border>
    <border>
      <left style="thin"/>
      <right style="thin"/>
      <top style="medium"/>
      <bottom/>
    </border>
    <border>
      <left/>
      <right/>
      <top style="thin"/>
      <bottom style="thin"/>
    </border>
    <border>
      <left>
        <color indexed="63"/>
      </left>
      <right>
        <color indexed="63"/>
      </right>
      <top style="thin"/>
      <bottom style="medium"/>
    </border>
    <border>
      <left style="medium"/>
      <right/>
      <top style="medium"/>
      <bottom style="thin"/>
    </border>
    <border>
      <left>
        <color indexed="63"/>
      </left>
      <right>
        <color indexed="63"/>
      </right>
      <top style="medium"/>
      <bottom style="thin"/>
    </border>
    <border>
      <left/>
      <right style="medium"/>
      <top style="medium"/>
      <bottom style="thin"/>
    </border>
    <border>
      <left/>
      <right style="medium"/>
      <top style="thin"/>
      <bottom style="thin"/>
    </border>
    <border>
      <left style="medium"/>
      <right/>
      <top/>
      <bottom style="thin"/>
    </border>
    <border>
      <left/>
      <right style="medium"/>
      <top/>
      <bottom style="thin"/>
    </border>
    <border>
      <left/>
      <right style="medium"/>
      <top style="thin"/>
      <bottom style="mediu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67">
    <xf numFmtId="0" fontId="0" fillId="0" borderId="0" xfId="0" applyAlignment="1">
      <alignment/>
    </xf>
    <xf numFmtId="0" fontId="0" fillId="33" borderId="0" xfId="0" applyFill="1" applyAlignment="1">
      <alignment/>
    </xf>
    <xf numFmtId="0" fontId="0" fillId="33" borderId="0" xfId="0" applyFill="1" applyBorder="1" applyAlignment="1">
      <alignment/>
    </xf>
    <xf numFmtId="44" fontId="0" fillId="34" borderId="10" xfId="44" applyFont="1" applyFill="1" applyBorder="1" applyAlignment="1">
      <alignment/>
    </xf>
    <xf numFmtId="164" fontId="0" fillId="34" borderId="10" xfId="42" applyNumberFormat="1" applyFont="1" applyFill="1" applyBorder="1" applyAlignment="1">
      <alignment horizontal="center" wrapText="1"/>
    </xf>
    <xf numFmtId="0" fontId="3" fillId="33" borderId="0" xfId="0" applyFont="1" applyFill="1" applyAlignment="1">
      <alignment/>
    </xf>
    <xf numFmtId="44" fontId="0" fillId="33" borderId="0" xfId="44" applyFont="1" applyFill="1" applyBorder="1" applyAlignment="1">
      <alignment horizontal="right" vertical="top"/>
    </xf>
    <xf numFmtId="164" fontId="0" fillId="33" borderId="0" xfId="42" applyNumberFormat="1" applyFont="1" applyFill="1" applyBorder="1" applyAlignment="1">
      <alignment horizontal="right" vertical="top"/>
    </xf>
    <xf numFmtId="0" fontId="3" fillId="33" borderId="0" xfId="0" applyFont="1" applyFill="1" applyBorder="1" applyAlignment="1">
      <alignment horizontal="left"/>
    </xf>
    <xf numFmtId="44" fontId="0" fillId="33" borderId="10" xfId="44"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44" fontId="0" fillId="34" borderId="10" xfId="44" applyFont="1" applyFill="1" applyBorder="1" applyAlignment="1">
      <alignment horizontal="center" wrapText="1"/>
    </xf>
    <xf numFmtId="0" fontId="0" fillId="33" borderId="14" xfId="0" applyFill="1" applyBorder="1" applyAlignment="1">
      <alignment/>
    </xf>
    <xf numFmtId="44" fontId="0" fillId="0" borderId="10" xfId="44" applyFont="1" applyFill="1" applyBorder="1" applyAlignment="1">
      <alignment horizontal="right" vertical="top"/>
    </xf>
    <xf numFmtId="44" fontId="0" fillId="0" borderId="10" xfId="44" applyFont="1" applyFill="1" applyBorder="1" applyAlignment="1">
      <alignment/>
    </xf>
    <xf numFmtId="0" fontId="0" fillId="33" borderId="15" xfId="0" applyFont="1" applyFill="1" applyBorder="1" applyAlignment="1">
      <alignment vertical="top" wrapText="1"/>
    </xf>
    <xf numFmtId="0" fontId="0" fillId="33" borderId="10" xfId="0" applyFont="1" applyFill="1" applyBorder="1" applyAlignment="1">
      <alignment vertical="top" wrapText="1"/>
    </xf>
    <xf numFmtId="0" fontId="0" fillId="33" borderId="16" xfId="0" applyFill="1" applyBorder="1" applyAlignment="1">
      <alignment/>
    </xf>
    <xf numFmtId="164" fontId="0" fillId="34" borderId="10" xfId="42" applyNumberFormat="1" applyFont="1" applyFill="1" applyBorder="1" applyAlignment="1">
      <alignment/>
    </xf>
    <xf numFmtId="9" fontId="3" fillId="34" borderId="10" xfId="0" applyNumberFormat="1" applyFont="1" applyFill="1" applyBorder="1" applyAlignment="1">
      <alignment horizontal="right"/>
    </xf>
    <xf numFmtId="0" fontId="4" fillId="33" borderId="0" xfId="0" applyFont="1" applyFill="1" applyAlignment="1">
      <alignment horizontal="left"/>
    </xf>
    <xf numFmtId="164" fontId="0" fillId="34" borderId="10" xfId="42" applyNumberFormat="1" applyFont="1" applyFill="1" applyBorder="1" applyAlignment="1">
      <alignment horizontal="center"/>
    </xf>
    <xf numFmtId="44" fontId="0" fillId="34" borderId="10" xfId="44" applyFont="1" applyFill="1" applyBorder="1" applyAlignment="1">
      <alignment horizontal="center"/>
    </xf>
    <xf numFmtId="0" fontId="0" fillId="34" borderId="17" xfId="0" applyFill="1" applyBorder="1" applyAlignment="1">
      <alignment wrapText="1"/>
    </xf>
    <xf numFmtId="20" fontId="0" fillId="33" borderId="10" xfId="0" applyNumberFormat="1" applyFill="1" applyBorder="1" applyAlignment="1" quotePrefix="1">
      <alignment horizontal="center"/>
    </xf>
    <xf numFmtId="44" fontId="0" fillId="33" borderId="10" xfId="44" applyFont="1" applyFill="1" applyBorder="1" applyAlignment="1">
      <alignment vertical="top"/>
    </xf>
    <xf numFmtId="44" fontId="0" fillId="33" borderId="10" xfId="44" applyFont="1" applyFill="1" applyBorder="1" applyAlignment="1" quotePrefix="1">
      <alignment/>
    </xf>
    <xf numFmtId="0" fontId="5" fillId="33" borderId="0" xfId="0" applyFont="1" applyFill="1" applyAlignment="1">
      <alignment/>
    </xf>
    <xf numFmtId="0" fontId="4" fillId="35" borderId="0" xfId="0" applyFont="1" applyFill="1" applyAlignment="1">
      <alignment/>
    </xf>
    <xf numFmtId="0" fontId="0" fillId="35" borderId="0" xfId="0" applyFill="1" applyAlignment="1">
      <alignment/>
    </xf>
    <xf numFmtId="0" fontId="5" fillId="35" borderId="0" xfId="0" applyFont="1" applyFill="1" applyAlignment="1">
      <alignment/>
    </xf>
    <xf numFmtId="0" fontId="3" fillId="35" borderId="0" xfId="0" applyFont="1" applyFill="1" applyAlignment="1">
      <alignment/>
    </xf>
    <xf numFmtId="0" fontId="0" fillId="35" borderId="15" xfId="0" applyFont="1" applyFill="1" applyBorder="1" applyAlignment="1">
      <alignment/>
    </xf>
    <xf numFmtId="44" fontId="0" fillId="35" borderId="10" xfId="44" applyFont="1" applyFill="1" applyBorder="1" applyAlignment="1">
      <alignment/>
    </xf>
    <xf numFmtId="44" fontId="0" fillId="35" borderId="0" xfId="0" applyNumberFormat="1" applyFill="1" applyAlignment="1">
      <alignment/>
    </xf>
    <xf numFmtId="0" fontId="0" fillId="35" borderId="10" xfId="0" applyFill="1" applyBorder="1" applyAlignment="1">
      <alignment/>
    </xf>
    <xf numFmtId="44" fontId="0" fillId="35" borderId="0" xfId="44" applyFont="1" applyFill="1" applyAlignment="1">
      <alignment/>
    </xf>
    <xf numFmtId="44" fontId="0" fillId="35" borderId="10" xfId="0" applyNumberFormat="1" applyFill="1" applyBorder="1" applyAlignment="1">
      <alignment/>
    </xf>
    <xf numFmtId="0" fontId="3" fillId="35" borderId="10" xfId="0" applyFont="1" applyFill="1" applyBorder="1" applyAlignment="1">
      <alignment/>
    </xf>
    <xf numFmtId="165" fontId="3" fillId="33" borderId="10" xfId="57" applyNumberFormat="1" applyFont="1" applyFill="1" applyBorder="1" applyAlignment="1">
      <alignment horizontal="left" indent="4"/>
    </xf>
    <xf numFmtId="10" fontId="3" fillId="33" borderId="10" xfId="0" applyNumberFormat="1" applyFont="1" applyFill="1" applyBorder="1" applyAlignment="1">
      <alignment/>
    </xf>
    <xf numFmtId="165" fontId="0" fillId="33" borderId="10" xfId="57" applyNumberFormat="1" applyFont="1" applyFill="1" applyBorder="1" applyAlignment="1">
      <alignment horizontal="right" vertical="top"/>
    </xf>
    <xf numFmtId="10" fontId="0" fillId="33" borderId="10" xfId="57" applyNumberFormat="1" applyFont="1" applyFill="1" applyBorder="1" applyAlignment="1">
      <alignment/>
    </xf>
    <xf numFmtId="165" fontId="0" fillId="35" borderId="10" xfId="44" applyNumberFormat="1" applyFont="1" applyFill="1" applyBorder="1" applyAlignment="1">
      <alignment vertical="top"/>
    </xf>
    <xf numFmtId="10" fontId="0" fillId="35" borderId="10" xfId="0" applyNumberFormat="1" applyFont="1" applyFill="1" applyBorder="1" applyAlignment="1">
      <alignment/>
    </xf>
    <xf numFmtId="165" fontId="0" fillId="35" borderId="10" xfId="0" applyNumberFormat="1" applyFill="1" applyBorder="1" applyAlignment="1">
      <alignment/>
    </xf>
    <xf numFmtId="10" fontId="0" fillId="35" borderId="10" xfId="57" applyNumberFormat="1" applyFont="1" applyFill="1" applyBorder="1" applyAlignment="1">
      <alignment vertical="top"/>
    </xf>
    <xf numFmtId="0" fontId="0" fillId="33" borderId="18" xfId="0" applyFont="1" applyFill="1" applyBorder="1" applyAlignment="1" quotePrefix="1">
      <alignment horizontal="right"/>
    </xf>
    <xf numFmtId="0" fontId="0" fillId="33" borderId="19" xfId="0" applyFont="1" applyFill="1" applyBorder="1" applyAlignment="1" quotePrefix="1">
      <alignment horizontal="right"/>
    </xf>
    <xf numFmtId="0" fontId="0" fillId="34" borderId="15" xfId="0" applyFont="1" applyFill="1" applyBorder="1" applyAlignment="1">
      <alignment/>
    </xf>
    <xf numFmtId="0" fontId="0" fillId="33" borderId="15" xfId="0" applyFont="1" applyFill="1" applyBorder="1" applyAlignment="1">
      <alignment/>
    </xf>
    <xf numFmtId="0" fontId="0" fillId="0" borderId="10" xfId="42" applyNumberFormat="1" applyFont="1" applyFill="1" applyBorder="1" applyAlignment="1" applyProtection="1">
      <alignment horizontal="right" vertical="top"/>
      <protection/>
    </xf>
    <xf numFmtId="0" fontId="0" fillId="36" borderId="10" xfId="0" applyFont="1" applyFill="1" applyBorder="1" applyAlignment="1">
      <alignment/>
    </xf>
    <xf numFmtId="9" fontId="0" fillId="0" borderId="10" xfId="42" applyNumberFormat="1" applyFont="1" applyFill="1" applyBorder="1" applyAlignment="1" applyProtection="1">
      <alignment horizontal="right" vertical="top"/>
      <protection/>
    </xf>
    <xf numFmtId="0" fontId="0" fillId="35" borderId="10" xfId="0" applyFont="1" applyFill="1" applyBorder="1" applyAlignment="1">
      <alignment/>
    </xf>
    <xf numFmtId="0" fontId="0" fillId="34" borderId="10" xfId="0" applyFont="1" applyFill="1" applyBorder="1" applyAlignment="1">
      <alignment horizontal="center"/>
    </xf>
    <xf numFmtId="0" fontId="0" fillId="34" borderId="10" xfId="0" applyFont="1" applyFill="1" applyBorder="1" applyAlignment="1">
      <alignment horizontal="center" wrapText="1"/>
    </xf>
    <xf numFmtId="0" fontId="0" fillId="34" borderId="20" xfId="0" applyFont="1" applyFill="1" applyBorder="1" applyAlignment="1">
      <alignment horizontal="right" wrapText="1"/>
    </xf>
    <xf numFmtId="0" fontId="0" fillId="35" borderId="15" xfId="0" applyFont="1" applyFill="1" applyBorder="1" applyAlignment="1">
      <alignment/>
    </xf>
    <xf numFmtId="0" fontId="0" fillId="33" borderId="21" xfId="0" applyNumberFormat="1" applyFont="1" applyFill="1" applyBorder="1" applyAlignment="1" quotePrefix="1">
      <alignment horizontal="right"/>
    </xf>
    <xf numFmtId="0" fontId="0" fillId="33" borderId="22" xfId="0" applyNumberFormat="1" applyFont="1" applyFill="1" applyBorder="1" applyAlignment="1" quotePrefix="1">
      <alignment horizontal="right"/>
    </xf>
    <xf numFmtId="0" fontId="0" fillId="33" borderId="0" xfId="0" applyFont="1" applyFill="1" applyAlignment="1">
      <alignment/>
    </xf>
    <xf numFmtId="0" fontId="0" fillId="33" borderId="0" xfId="0" applyFont="1" applyFill="1" applyAlignment="1">
      <alignment horizontal="left" indent="1"/>
    </xf>
    <xf numFmtId="20" fontId="0" fillId="34" borderId="23" xfId="0" applyNumberFormat="1" applyFont="1" applyFill="1" applyBorder="1" applyAlignment="1" quotePrefix="1">
      <alignment horizontal="right"/>
    </xf>
    <xf numFmtId="0" fontId="0" fillId="34" borderId="24" xfId="0" applyNumberFormat="1" applyFont="1" applyFill="1" applyBorder="1" applyAlignment="1" quotePrefix="1">
      <alignment horizontal="right"/>
    </xf>
    <xf numFmtId="0" fontId="0" fillId="34" borderId="25" xfId="0" applyFont="1" applyFill="1" applyBorder="1" applyAlignment="1">
      <alignment horizontal="left" indent="1"/>
    </xf>
    <xf numFmtId="20" fontId="0" fillId="34" borderId="18" xfId="0" applyNumberFormat="1" applyFont="1" applyFill="1" applyBorder="1" applyAlignment="1" quotePrefix="1">
      <alignment horizontal="right"/>
    </xf>
    <xf numFmtId="0" fontId="0" fillId="34" borderId="21" xfId="0" applyNumberFormat="1" applyFont="1" applyFill="1" applyBorder="1" applyAlignment="1" quotePrefix="1">
      <alignment horizontal="right"/>
    </xf>
    <xf numFmtId="0" fontId="0" fillId="34" borderId="26" xfId="0" applyFont="1" applyFill="1" applyBorder="1" applyAlignment="1">
      <alignment horizontal="left" indent="1"/>
    </xf>
    <xf numFmtId="0" fontId="0" fillId="34" borderId="15" xfId="0" applyFont="1" applyFill="1" applyBorder="1" applyAlignment="1">
      <alignment horizontal="left"/>
    </xf>
    <xf numFmtId="0" fontId="0" fillId="34" borderId="10" xfId="0" applyFont="1" applyFill="1" applyBorder="1" applyAlignment="1">
      <alignment horizontal="left" wrapText="1"/>
    </xf>
    <xf numFmtId="20" fontId="0" fillId="34" borderId="27" xfId="0" applyNumberFormat="1" applyFont="1" applyFill="1" applyBorder="1" applyAlignment="1" quotePrefix="1">
      <alignment horizontal="right"/>
    </xf>
    <xf numFmtId="0" fontId="0" fillId="34" borderId="13" xfId="0" applyNumberFormat="1" applyFont="1" applyFill="1" applyBorder="1" applyAlignment="1" quotePrefix="1">
      <alignment horizontal="right"/>
    </xf>
    <xf numFmtId="0" fontId="0" fillId="34" borderId="28" xfId="0" applyFont="1" applyFill="1" applyBorder="1" applyAlignment="1">
      <alignment horizontal="left" indent="1"/>
    </xf>
    <xf numFmtId="0" fontId="0" fillId="33" borderId="15" xfId="0" applyFont="1" applyFill="1" applyBorder="1" applyAlignment="1">
      <alignment horizontal="left"/>
    </xf>
    <xf numFmtId="0" fontId="0" fillId="37" borderId="10" xfId="0" applyFont="1" applyFill="1" applyBorder="1" applyAlignment="1" applyProtection="1">
      <alignment horizontal="left"/>
      <protection locked="0"/>
    </xf>
    <xf numFmtId="20" fontId="0" fillId="33" borderId="18" xfId="0" applyNumberFormat="1" applyFont="1" applyFill="1" applyBorder="1" applyAlignment="1" quotePrefix="1">
      <alignment horizontal="right"/>
    </xf>
    <xf numFmtId="0" fontId="0" fillId="33" borderId="26" xfId="0" applyFont="1" applyFill="1" applyBorder="1" applyAlignment="1">
      <alignment horizontal="left" indent="1"/>
    </xf>
    <xf numFmtId="0" fontId="0" fillId="34" borderId="21" xfId="0" applyFont="1" applyFill="1" applyBorder="1" applyAlignment="1">
      <alignment/>
    </xf>
    <xf numFmtId="0" fontId="0" fillId="33" borderId="21" xfId="0" applyFont="1" applyFill="1" applyBorder="1" applyAlignment="1">
      <alignment/>
    </xf>
    <xf numFmtId="0" fontId="0" fillId="33" borderId="0" xfId="0" applyFont="1" applyFill="1" applyBorder="1" applyAlignment="1">
      <alignment horizontal="left"/>
    </xf>
    <xf numFmtId="0" fontId="0" fillId="33" borderId="29" xfId="0" applyFont="1" applyFill="1" applyBorder="1" applyAlignment="1">
      <alignment horizontal="left" indent="1"/>
    </xf>
    <xf numFmtId="44" fontId="0" fillId="36" borderId="10" xfId="44" applyFont="1" applyFill="1" applyBorder="1" applyAlignment="1">
      <alignment horizontal="right"/>
    </xf>
    <xf numFmtId="0" fontId="0" fillId="34" borderId="10" xfId="0" applyFont="1" applyFill="1" applyBorder="1" applyAlignment="1">
      <alignment/>
    </xf>
    <xf numFmtId="10" fontId="0" fillId="33" borderId="15" xfId="57" applyNumberFormat="1" applyFont="1" applyFill="1" applyBorder="1" applyAlignment="1">
      <alignment/>
    </xf>
    <xf numFmtId="44" fontId="0" fillId="0" borderId="10" xfId="0" applyNumberFormat="1" applyFont="1" applyFill="1" applyBorder="1" applyAlignment="1">
      <alignment/>
    </xf>
    <xf numFmtId="44" fontId="0" fillId="33" borderId="0" xfId="44" applyFont="1" applyFill="1" applyAlignment="1">
      <alignment/>
    </xf>
    <xf numFmtId="164" fontId="0" fillId="33" borderId="0" xfId="42" applyNumberFormat="1" applyFont="1" applyFill="1" applyAlignment="1">
      <alignment/>
    </xf>
    <xf numFmtId="0" fontId="0" fillId="33" borderId="0" xfId="0" applyFont="1" applyFill="1" applyBorder="1" applyAlignment="1">
      <alignment/>
    </xf>
    <xf numFmtId="0" fontId="0" fillId="38" borderId="10" xfId="0" applyFont="1" applyFill="1" applyBorder="1" applyAlignment="1">
      <alignment/>
    </xf>
    <xf numFmtId="8" fontId="0" fillId="38" borderId="10" xfId="0" applyNumberFormat="1" applyFont="1" applyFill="1" applyBorder="1" applyAlignment="1">
      <alignment/>
    </xf>
    <xf numFmtId="0" fontId="0" fillId="0" borderId="0" xfId="0" applyFont="1" applyFill="1" applyBorder="1" applyAlignment="1" applyProtection="1">
      <alignment horizontal="left"/>
      <protection/>
    </xf>
    <xf numFmtId="0" fontId="3" fillId="33" borderId="0" xfId="0" applyFont="1" applyFill="1" applyAlignment="1">
      <alignment horizontal="left"/>
    </xf>
    <xf numFmtId="2" fontId="0" fillId="37" borderId="10" xfId="0" applyNumberFormat="1" applyFont="1" applyFill="1" applyBorder="1" applyAlignment="1" applyProtection="1">
      <alignment horizontal="right"/>
      <protection locked="0"/>
    </xf>
    <xf numFmtId="14" fontId="0" fillId="0" borderId="0" xfId="0" applyNumberFormat="1" applyAlignment="1">
      <alignment/>
    </xf>
    <xf numFmtId="0" fontId="0" fillId="0" borderId="0" xfId="0" applyAlignment="1">
      <alignment wrapText="1"/>
    </xf>
    <xf numFmtId="0" fontId="0" fillId="0" borderId="0" xfId="0" applyAlignment="1">
      <alignment horizontal="left"/>
    </xf>
    <xf numFmtId="0" fontId="41" fillId="39" borderId="30" xfId="0" applyFont="1" applyFill="1" applyBorder="1" applyAlignment="1">
      <alignment vertical="center"/>
    </xf>
    <xf numFmtId="0" fontId="41" fillId="39" borderId="30" xfId="0" applyFont="1" applyFill="1" applyBorder="1" applyAlignment="1">
      <alignment horizontal="left" vertical="center"/>
    </xf>
    <xf numFmtId="0" fontId="42" fillId="36" borderId="30" xfId="0" applyFont="1" applyFill="1" applyBorder="1" applyAlignment="1">
      <alignment vertical="center"/>
    </xf>
    <xf numFmtId="0" fontId="42" fillId="36" borderId="30" xfId="0" applyFont="1" applyFill="1" applyBorder="1" applyAlignment="1" quotePrefix="1">
      <alignment horizontal="left" vertical="center"/>
    </xf>
    <xf numFmtId="0" fontId="42" fillId="0" borderId="30" xfId="0" applyFont="1" applyBorder="1" applyAlignment="1">
      <alignment vertical="center"/>
    </xf>
    <xf numFmtId="169" fontId="0" fillId="0" borderId="30" xfId="0" applyNumberFormat="1" applyBorder="1" applyAlignment="1">
      <alignment/>
    </xf>
    <xf numFmtId="0" fontId="0" fillId="0" borderId="30" xfId="0" applyFont="1" applyBorder="1" applyAlignment="1">
      <alignment vertical="top"/>
    </xf>
    <xf numFmtId="0" fontId="0" fillId="35" borderId="0" xfId="0" applyFont="1" applyFill="1" applyBorder="1" applyAlignment="1">
      <alignment/>
    </xf>
    <xf numFmtId="10" fontId="0" fillId="35" borderId="0" xfId="57" applyNumberFormat="1" applyFont="1" applyFill="1" applyBorder="1" applyAlignment="1">
      <alignment vertical="top"/>
    </xf>
    <xf numFmtId="165" fontId="0" fillId="0" borderId="0" xfId="57" applyNumberFormat="1" applyFont="1" applyFill="1" applyAlignment="1" applyProtection="1">
      <alignment/>
      <protection/>
    </xf>
    <xf numFmtId="44" fontId="43" fillId="35" borderId="0" xfId="0" applyNumberFormat="1" applyFont="1" applyFill="1" applyAlignment="1">
      <alignment/>
    </xf>
    <xf numFmtId="0" fontId="43" fillId="33" borderId="0" xfId="0" applyFont="1" applyFill="1" applyAlignment="1">
      <alignment/>
    </xf>
    <xf numFmtId="0" fontId="43" fillId="35" borderId="0" xfId="0" applyFont="1" applyFill="1" applyAlignment="1">
      <alignment/>
    </xf>
    <xf numFmtId="10" fontId="0" fillId="40" borderId="10" xfId="57" applyNumberFormat="1" applyFont="1" applyFill="1" applyBorder="1" applyAlignment="1">
      <alignment/>
    </xf>
    <xf numFmtId="44" fontId="43" fillId="40" borderId="0" xfId="44" applyFont="1" applyFill="1" applyAlignment="1">
      <alignment/>
    </xf>
    <xf numFmtId="165" fontId="43" fillId="35" borderId="0" xfId="0" applyNumberFormat="1" applyFont="1" applyFill="1" applyAlignment="1">
      <alignment/>
    </xf>
    <xf numFmtId="0" fontId="0" fillId="35" borderId="0" xfId="0" applyFont="1" applyFill="1" applyBorder="1" applyAlignment="1">
      <alignment/>
    </xf>
    <xf numFmtId="44" fontId="0" fillId="35" borderId="0" xfId="0" applyNumberFormat="1" applyFill="1" applyBorder="1" applyAlignment="1">
      <alignment/>
    </xf>
    <xf numFmtId="0" fontId="44" fillId="33" borderId="0" xfId="0" applyFont="1" applyFill="1" applyAlignment="1">
      <alignment/>
    </xf>
    <xf numFmtId="0" fontId="44" fillId="35" borderId="0" xfId="0" applyFont="1" applyFill="1" applyAlignment="1">
      <alignment/>
    </xf>
    <xf numFmtId="14" fontId="6" fillId="0" borderId="0" xfId="0" applyNumberFormat="1" applyFont="1" applyAlignment="1">
      <alignment/>
    </xf>
    <xf numFmtId="0" fontId="6" fillId="0" borderId="0" xfId="0" applyFont="1" applyAlignment="1">
      <alignment/>
    </xf>
    <xf numFmtId="9" fontId="0" fillId="0" borderId="0" xfId="57" applyNumberFormat="1" applyFont="1" applyFill="1" applyAlignment="1" applyProtection="1">
      <alignment/>
      <protection/>
    </xf>
    <xf numFmtId="14" fontId="0" fillId="0" borderId="0" xfId="0" applyNumberFormat="1" applyFont="1" applyAlignment="1">
      <alignment/>
    </xf>
    <xf numFmtId="0" fontId="0" fillId="0" borderId="0" xfId="0" applyFont="1" applyAlignment="1">
      <alignment wrapText="1"/>
    </xf>
    <xf numFmtId="0" fontId="0" fillId="0" borderId="0" xfId="0" applyFont="1" applyAlignment="1">
      <alignment/>
    </xf>
    <xf numFmtId="0" fontId="0" fillId="0" borderId="14" xfId="42" applyNumberFormat="1" applyFont="1" applyFill="1" applyBorder="1" applyAlignment="1">
      <alignment horizontal="center" vertical="top" wrapText="1"/>
    </xf>
    <xf numFmtId="0" fontId="0" fillId="0" borderId="31" xfId="42" applyNumberFormat="1" applyFont="1" applyFill="1" applyBorder="1" applyAlignment="1">
      <alignment horizontal="center" vertical="top" wrapText="1"/>
    </xf>
    <xf numFmtId="0" fontId="0" fillId="0" borderId="0" xfId="42" applyNumberFormat="1" applyFont="1" applyFill="1" applyBorder="1" applyAlignment="1">
      <alignment horizontal="center" vertical="top" wrapText="1"/>
    </xf>
    <xf numFmtId="44" fontId="0" fillId="0" borderId="10" xfId="44" applyFont="1" applyFill="1" applyBorder="1" applyAlignment="1">
      <alignment horizontal="center" vertical="top"/>
    </xf>
    <xf numFmtId="44" fontId="0" fillId="37" borderId="14" xfId="44" applyFont="1" applyFill="1" applyBorder="1" applyAlignment="1" applyProtection="1">
      <alignment horizontal="center" vertical="top"/>
      <protection locked="0"/>
    </xf>
    <xf numFmtId="44" fontId="0" fillId="37" borderId="31" xfId="44" applyFont="1" applyFill="1" applyBorder="1" applyAlignment="1" applyProtection="1">
      <alignment horizontal="center" vertical="top"/>
      <protection locked="0"/>
    </xf>
    <xf numFmtId="9" fontId="0" fillId="33" borderId="15" xfId="57" applyFont="1" applyFill="1" applyBorder="1" applyAlignment="1">
      <alignment horizontal="left"/>
    </xf>
    <xf numFmtId="9" fontId="0" fillId="33" borderId="21" xfId="57" applyFont="1" applyFill="1" applyBorder="1" applyAlignment="1">
      <alignment horizontal="left"/>
    </xf>
    <xf numFmtId="0" fontId="0" fillId="34" borderId="15" xfId="0" applyFont="1" applyFill="1" applyBorder="1" applyAlignment="1">
      <alignment horizontal="left"/>
    </xf>
    <xf numFmtId="0" fontId="0" fillId="34" borderId="32" xfId="0" applyFont="1" applyFill="1" applyBorder="1" applyAlignment="1">
      <alignment horizontal="left"/>
    </xf>
    <xf numFmtId="0" fontId="0" fillId="34" borderId="15" xfId="0" applyFill="1" applyBorder="1" applyAlignment="1">
      <alignment horizontal="left" wrapText="1"/>
    </xf>
    <xf numFmtId="0" fontId="0" fillId="34" borderId="21" xfId="0" applyFill="1" applyBorder="1" applyAlignment="1">
      <alignment horizontal="left" wrapText="1"/>
    </xf>
    <xf numFmtId="0" fontId="0" fillId="34" borderId="32" xfId="0" applyFill="1" applyBorder="1" applyAlignment="1">
      <alignment horizontal="left" wrapText="1"/>
    </xf>
    <xf numFmtId="0" fontId="3" fillId="33" borderId="15" xfId="0" applyFont="1" applyFill="1" applyBorder="1" applyAlignment="1">
      <alignment horizontal="left"/>
    </xf>
    <xf numFmtId="0" fontId="3" fillId="33" borderId="32" xfId="0" applyFont="1" applyFill="1" applyBorder="1" applyAlignment="1">
      <alignment horizontal="left"/>
    </xf>
    <xf numFmtId="0" fontId="0" fillId="33" borderId="33" xfId="0" applyFont="1"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3" xfId="0" applyFill="1" applyBorder="1" applyAlignment="1">
      <alignment horizontal="left"/>
    </xf>
    <xf numFmtId="0" fontId="0" fillId="33" borderId="34" xfId="0" applyFill="1" applyBorder="1" applyAlignment="1">
      <alignment horizontal="left"/>
    </xf>
    <xf numFmtId="10" fontId="0" fillId="33" borderId="16" xfId="57" applyNumberFormat="1" applyFont="1" applyFill="1" applyBorder="1" applyAlignment="1">
      <alignment horizontal="right" vertical="top"/>
    </xf>
    <xf numFmtId="10" fontId="0" fillId="33" borderId="14" xfId="57" applyNumberFormat="1" applyFont="1" applyFill="1" applyBorder="1" applyAlignment="1">
      <alignment horizontal="right" vertical="top"/>
    </xf>
    <xf numFmtId="10" fontId="0" fillId="33" borderId="31" xfId="57" applyNumberFormat="1" applyFont="1" applyFill="1" applyBorder="1" applyAlignment="1">
      <alignment horizontal="right" vertical="top"/>
    </xf>
    <xf numFmtId="0" fontId="0" fillId="34" borderId="15" xfId="0" applyFill="1" applyBorder="1" applyAlignment="1">
      <alignment horizontal="left"/>
    </xf>
    <xf numFmtId="0" fontId="0" fillId="34" borderId="32" xfId="0" applyFill="1" applyBorder="1" applyAlignment="1">
      <alignment horizontal="left"/>
    </xf>
    <xf numFmtId="0" fontId="0" fillId="33" borderId="36" xfId="0" applyFill="1" applyBorder="1" applyAlignment="1">
      <alignment horizontal="left" vertical="top" wrapText="1"/>
    </xf>
    <xf numFmtId="0" fontId="0" fillId="33" borderId="37" xfId="0" applyFill="1" applyBorder="1" applyAlignment="1">
      <alignment horizontal="left" vertical="top" wrapText="1"/>
    </xf>
    <xf numFmtId="0" fontId="0" fillId="33" borderId="15" xfId="0" applyFill="1" applyBorder="1" applyAlignment="1">
      <alignment horizontal="left" wrapText="1"/>
    </xf>
    <xf numFmtId="0" fontId="0" fillId="0" borderId="32" xfId="0" applyBorder="1" applyAlignment="1">
      <alignment/>
    </xf>
    <xf numFmtId="0" fontId="0" fillId="33" borderId="15" xfId="0" applyFont="1" applyFill="1" applyBorder="1" applyAlignment="1">
      <alignment horizontal="left" wrapText="1"/>
    </xf>
    <xf numFmtId="0" fontId="0" fillId="33" borderId="15" xfId="0" applyFill="1" applyBorder="1" applyAlignment="1">
      <alignment horizontal="left"/>
    </xf>
    <xf numFmtId="0" fontId="0" fillId="33" borderId="21" xfId="0" applyFill="1" applyBorder="1" applyAlignment="1">
      <alignment horizontal="left"/>
    </xf>
    <xf numFmtId="0" fontId="0" fillId="33" borderId="32" xfId="0" applyFill="1" applyBorder="1" applyAlignment="1">
      <alignment horizontal="left"/>
    </xf>
    <xf numFmtId="0" fontId="3" fillId="33" borderId="10" xfId="0" applyFont="1" applyFill="1" applyBorder="1" applyAlignment="1">
      <alignment horizontal="left"/>
    </xf>
    <xf numFmtId="0" fontId="3" fillId="34" borderId="10" xfId="0" applyFont="1" applyFill="1" applyBorder="1" applyAlignment="1">
      <alignment horizontal="left"/>
    </xf>
    <xf numFmtId="0" fontId="0" fillId="33" borderId="10" xfId="0" applyFill="1" applyBorder="1" applyAlignment="1">
      <alignment horizontal="left"/>
    </xf>
    <xf numFmtId="0" fontId="0" fillId="37" borderId="15" xfId="0" applyFont="1" applyFill="1" applyBorder="1" applyAlignment="1" applyProtection="1">
      <alignment horizontal="center"/>
      <protection locked="0"/>
    </xf>
    <xf numFmtId="0" fontId="0" fillId="37" borderId="21" xfId="0" applyFont="1" applyFill="1" applyBorder="1" applyAlignment="1" applyProtection="1">
      <alignment horizontal="center"/>
      <protection locked="0"/>
    </xf>
    <xf numFmtId="0" fontId="0" fillId="37" borderId="32" xfId="0" applyFont="1" applyFill="1" applyBorder="1" applyAlignment="1" applyProtection="1">
      <alignment horizontal="center"/>
      <protection locked="0"/>
    </xf>
    <xf numFmtId="0" fontId="0" fillId="36" borderId="15" xfId="0" applyFont="1" applyFill="1" applyBorder="1" applyAlignment="1">
      <alignment horizontal="center"/>
    </xf>
    <xf numFmtId="0" fontId="0" fillId="36" borderId="21" xfId="0" applyFont="1" applyFill="1" applyBorder="1" applyAlignment="1">
      <alignment horizontal="center"/>
    </xf>
    <xf numFmtId="0" fontId="0" fillId="36" borderId="32"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2"/>
  <sheetViews>
    <sheetView tabSelected="1" zoomScale="93" zoomScaleNormal="93" zoomScalePageLayoutView="0" workbookViewId="0" topLeftCell="A1">
      <selection activeCell="P13" sqref="P13"/>
    </sheetView>
  </sheetViews>
  <sheetFormatPr defaultColWidth="9.140625" defaultRowHeight="12.75"/>
  <cols>
    <col min="1" max="1" width="30.57421875" style="63" customWidth="1"/>
    <col min="2" max="2" width="13.00390625" style="88" customWidth="1"/>
    <col min="3" max="3" width="13.140625" style="88" customWidth="1"/>
    <col min="4" max="4" width="14.7109375" style="89" customWidth="1"/>
    <col min="5" max="5" width="17.421875" style="89" customWidth="1"/>
    <col min="6" max="6" width="17.00390625" style="88" customWidth="1"/>
    <col min="7" max="8" width="9.140625" style="63" hidden="1" customWidth="1"/>
    <col min="9" max="10" width="6.421875" style="63" hidden="1" customWidth="1"/>
    <col min="11" max="11" width="8.140625" style="64" hidden="1" customWidth="1"/>
    <col min="12" max="12" width="0" style="63" hidden="1" customWidth="1"/>
    <col min="13" max="16384" width="9.140625" style="63" customWidth="1"/>
  </cols>
  <sheetData>
    <row r="1" spans="1:6" ht="15" customHeight="1">
      <c r="A1" s="22" t="s">
        <v>18</v>
      </c>
      <c r="B1" s="22"/>
      <c r="C1" s="63"/>
      <c r="D1" s="63"/>
      <c r="E1" s="63"/>
      <c r="F1" s="63"/>
    </row>
    <row r="2" spans="1:6" ht="15" customHeight="1" thickBot="1">
      <c r="A2" s="94" t="s">
        <v>23</v>
      </c>
      <c r="B2" s="94"/>
      <c r="C2" s="63"/>
      <c r="D2" s="63"/>
      <c r="E2" s="63"/>
      <c r="F2" s="63"/>
    </row>
    <row r="3" spans="2:11" ht="15" customHeight="1">
      <c r="B3" s="63"/>
      <c r="C3" s="63"/>
      <c r="D3" s="63"/>
      <c r="E3" s="63"/>
      <c r="F3" s="63"/>
      <c r="H3" s="65" t="s">
        <v>56</v>
      </c>
      <c r="I3" s="66">
        <f>1/1</f>
        <v>1</v>
      </c>
      <c r="J3" s="66">
        <v>1</v>
      </c>
      <c r="K3" s="67">
        <v>1</v>
      </c>
    </row>
    <row r="4" spans="1:11" ht="15" customHeight="1">
      <c r="A4" s="5" t="s">
        <v>45</v>
      </c>
      <c r="B4" s="63"/>
      <c r="C4" s="63"/>
      <c r="D4" s="63"/>
      <c r="E4" s="63"/>
      <c r="F4" s="63"/>
      <c r="H4" s="68" t="s">
        <v>57</v>
      </c>
      <c r="I4" s="69">
        <f>1/0.548</f>
        <v>1.824817518248175</v>
      </c>
      <c r="J4" s="69">
        <v>2</v>
      </c>
      <c r="K4" s="70">
        <v>0.548</v>
      </c>
    </row>
    <row r="5" spans="1:11" ht="25.5">
      <c r="A5" s="71" t="s">
        <v>0</v>
      </c>
      <c r="B5" s="72" t="s">
        <v>55</v>
      </c>
      <c r="C5" s="57" t="s">
        <v>16</v>
      </c>
      <c r="D5" s="23" t="s">
        <v>90</v>
      </c>
      <c r="E5" s="57" t="s">
        <v>91</v>
      </c>
      <c r="F5" s="58" t="s">
        <v>92</v>
      </c>
      <c r="H5" s="73" t="s">
        <v>58</v>
      </c>
      <c r="I5" s="74">
        <f>1/0.397</f>
        <v>2.5188916876574305</v>
      </c>
      <c r="J5" s="74">
        <v>3</v>
      </c>
      <c r="K5" s="75">
        <v>0.397</v>
      </c>
    </row>
    <row r="6" spans="1:11" ht="15" customHeight="1">
      <c r="A6" s="76" t="s">
        <v>63</v>
      </c>
      <c r="B6" s="77" t="s">
        <v>56</v>
      </c>
      <c r="C6" s="16">
        <v>13.33</v>
      </c>
      <c r="D6" s="53">
        <v>1</v>
      </c>
      <c r="E6" s="16">
        <f>C6*D6</f>
        <v>13.33</v>
      </c>
      <c r="F6" s="16">
        <f>E6/(VLOOKUP(B6,H3:K12,2,FALSE))</f>
        <v>13.33</v>
      </c>
      <c r="H6" s="78" t="s">
        <v>59</v>
      </c>
      <c r="I6" s="61">
        <f>1/0.321</f>
        <v>3.115264797507788</v>
      </c>
      <c r="J6" s="61">
        <v>4</v>
      </c>
      <c r="K6" s="79">
        <v>0.321</v>
      </c>
    </row>
    <row r="7" spans="2:11" ht="15" customHeight="1">
      <c r="B7" s="63"/>
      <c r="C7" s="63"/>
      <c r="D7" s="63"/>
      <c r="E7" s="63"/>
      <c r="F7" s="63"/>
      <c r="H7" s="78" t="s">
        <v>76</v>
      </c>
      <c r="I7" s="61">
        <f>1/0.276</f>
        <v>3.623188405797101</v>
      </c>
      <c r="J7" s="61">
        <v>5</v>
      </c>
      <c r="K7" s="79">
        <v>0.276</v>
      </c>
    </row>
    <row r="8" spans="1:11" ht="15" customHeight="1">
      <c r="A8" s="5" t="s">
        <v>82</v>
      </c>
      <c r="B8" s="63"/>
      <c r="C8" s="63"/>
      <c r="D8" s="63"/>
      <c r="E8" s="63"/>
      <c r="F8" s="63"/>
      <c r="H8" s="78" t="s">
        <v>60</v>
      </c>
      <c r="I8" s="61">
        <f>1/0.246</f>
        <v>4.065040650406504</v>
      </c>
      <c r="J8" s="61">
        <v>6</v>
      </c>
      <c r="K8" s="79">
        <v>0.246</v>
      </c>
    </row>
    <row r="9" spans="1:11" ht="25.5">
      <c r="A9" s="51" t="s">
        <v>83</v>
      </c>
      <c r="B9" s="80"/>
      <c r="C9" s="24" t="s">
        <v>16</v>
      </c>
      <c r="D9" s="4" t="s">
        <v>85</v>
      </c>
      <c r="E9" s="4" t="s">
        <v>93</v>
      </c>
      <c r="F9" s="4" t="s">
        <v>94</v>
      </c>
      <c r="H9" s="78" t="s">
        <v>77</v>
      </c>
      <c r="I9" s="61">
        <f>1/0.224</f>
        <v>4.464285714285714</v>
      </c>
      <c r="J9" s="61">
        <v>7</v>
      </c>
      <c r="K9" s="79">
        <v>0.224</v>
      </c>
    </row>
    <row r="10" spans="1:11" ht="15" customHeight="1">
      <c r="A10" s="52" t="s">
        <v>83</v>
      </c>
      <c r="B10" s="81"/>
      <c r="C10" s="15">
        <v>17.43</v>
      </c>
      <c r="D10" s="55">
        <v>0.11</v>
      </c>
      <c r="E10" s="53">
        <f>D6*D10</f>
        <v>0.11</v>
      </c>
      <c r="F10" s="15">
        <f>(C10*E10)/VLOOKUP(B6,H3:K12,2,FALSE)</f>
        <v>1.9173</v>
      </c>
      <c r="H10" s="49" t="s">
        <v>61</v>
      </c>
      <c r="I10" s="61">
        <f>1/0.208</f>
        <v>4.8076923076923075</v>
      </c>
      <c r="J10" s="61">
        <v>8</v>
      </c>
      <c r="K10" s="79">
        <v>0.208</v>
      </c>
    </row>
    <row r="11" spans="2:11" ht="12.75">
      <c r="B11" s="63"/>
      <c r="C11" s="63"/>
      <c r="D11" s="63"/>
      <c r="E11" s="63"/>
      <c r="F11" s="63"/>
      <c r="H11" s="49" t="s">
        <v>78</v>
      </c>
      <c r="I11" s="61">
        <f>1/0.196</f>
        <v>5.1020408163265305</v>
      </c>
      <c r="J11" s="61">
        <v>9</v>
      </c>
      <c r="K11" s="79">
        <v>0.196</v>
      </c>
    </row>
    <row r="12" spans="1:11" ht="13.5" thickBot="1">
      <c r="A12" s="8" t="s">
        <v>80</v>
      </c>
      <c r="B12" s="82"/>
      <c r="C12" s="6"/>
      <c r="D12" s="7"/>
      <c r="E12" s="7"/>
      <c r="F12" s="6"/>
      <c r="H12" s="50" t="s">
        <v>62</v>
      </c>
      <c r="I12" s="62">
        <f>1/0.186</f>
        <v>5.376344086021505</v>
      </c>
      <c r="J12" s="62">
        <v>10</v>
      </c>
      <c r="K12" s="83">
        <v>0.186</v>
      </c>
    </row>
    <row r="13" spans="1:11" ht="38.25">
      <c r="A13" s="13" t="s">
        <v>24</v>
      </c>
      <c r="B13" s="3" t="s">
        <v>14</v>
      </c>
      <c r="C13" s="4" t="s">
        <v>15</v>
      </c>
      <c r="D13" s="4" t="s">
        <v>95</v>
      </c>
      <c r="E13" s="13" t="s">
        <v>96</v>
      </c>
      <c r="F13" s="63"/>
      <c r="J13" s="64"/>
      <c r="K13" s="63"/>
    </row>
    <row r="14" spans="1:11" ht="12.75">
      <c r="A14" s="54" t="s">
        <v>84</v>
      </c>
      <c r="B14" s="9">
        <v>0</v>
      </c>
      <c r="C14" s="129">
        <v>0</v>
      </c>
      <c r="D14" s="125">
        <f>IF(C14&gt;0,D6,0)</f>
        <v>0</v>
      </c>
      <c r="E14" s="128">
        <f>C14*D14</f>
        <v>0</v>
      </c>
      <c r="F14" s="63"/>
      <c r="J14" s="64"/>
      <c r="K14" s="63"/>
    </row>
    <row r="15" spans="1:11" ht="12.75">
      <c r="A15" s="54" t="s">
        <v>50</v>
      </c>
      <c r="B15" s="84">
        <v>2.5</v>
      </c>
      <c r="C15" s="130"/>
      <c r="D15" s="126"/>
      <c r="E15" s="128"/>
      <c r="F15" s="63"/>
      <c r="J15" s="64"/>
      <c r="K15" s="63"/>
    </row>
    <row r="16" spans="2:6" ht="12.75">
      <c r="B16" s="63"/>
      <c r="C16" s="63"/>
      <c r="D16" s="63"/>
      <c r="E16" s="63"/>
      <c r="F16" s="63"/>
    </row>
    <row r="17" spans="1:6" ht="12.75">
      <c r="A17" s="5" t="s">
        <v>105</v>
      </c>
      <c r="B17" s="5"/>
      <c r="C17" s="5"/>
      <c r="D17" s="5"/>
      <c r="E17" s="63"/>
      <c r="F17" s="63"/>
    </row>
    <row r="18" spans="1:8" ht="12.75">
      <c r="A18" s="91" t="s">
        <v>0</v>
      </c>
      <c r="B18" s="92" t="s">
        <v>16</v>
      </c>
      <c r="C18" s="91" t="s">
        <v>99</v>
      </c>
      <c r="D18" s="91" t="s">
        <v>98</v>
      </c>
      <c r="E18" s="63"/>
      <c r="F18" s="63"/>
      <c r="H18" s="63">
        <v>0</v>
      </c>
    </row>
    <row r="19" spans="1:8" ht="12.75">
      <c r="A19" s="54" t="s">
        <v>88</v>
      </c>
      <c r="B19" s="9">
        <v>18.64</v>
      </c>
      <c r="C19" s="95">
        <v>0</v>
      </c>
      <c r="D19" s="9">
        <f>B19*C19</f>
        <v>0</v>
      </c>
      <c r="E19" s="63"/>
      <c r="F19" s="63"/>
      <c r="H19" s="63">
        <v>1</v>
      </c>
    </row>
    <row r="20" spans="2:8" ht="12.75">
      <c r="B20" s="63"/>
      <c r="C20" s="63"/>
      <c r="D20" s="63"/>
      <c r="E20" s="63"/>
      <c r="F20" s="63"/>
      <c r="H20" s="63">
        <v>2</v>
      </c>
    </row>
    <row r="21" spans="1:8" ht="12.75">
      <c r="A21" s="5" t="s">
        <v>106</v>
      </c>
      <c r="B21" s="5"/>
      <c r="C21" s="5"/>
      <c r="D21" s="5"/>
      <c r="E21" s="63"/>
      <c r="F21" s="63"/>
      <c r="H21" s="63">
        <v>3</v>
      </c>
    </row>
    <row r="22" spans="1:8" ht="12.75">
      <c r="A22" s="91" t="s">
        <v>0</v>
      </c>
      <c r="B22" s="92" t="s">
        <v>16</v>
      </c>
      <c r="C22" s="91" t="s">
        <v>97</v>
      </c>
      <c r="D22" s="91" t="s">
        <v>98</v>
      </c>
      <c r="E22" s="63"/>
      <c r="F22" s="63"/>
      <c r="H22" s="63">
        <v>4</v>
      </c>
    </row>
    <row r="23" spans="1:8" ht="12.75">
      <c r="A23" s="54" t="s">
        <v>87</v>
      </c>
      <c r="B23" s="9">
        <v>30.82</v>
      </c>
      <c r="C23" s="95">
        <v>0</v>
      </c>
      <c r="D23" s="9">
        <f>B23*C23</f>
        <v>0</v>
      </c>
      <c r="E23" s="63"/>
      <c r="F23" s="63"/>
      <c r="H23" s="63">
        <v>5</v>
      </c>
    </row>
    <row r="24" spans="1:6" ht="12.75">
      <c r="A24" s="90"/>
      <c r="B24" s="90"/>
      <c r="C24" s="93"/>
      <c r="D24" s="90"/>
      <c r="E24" s="63"/>
      <c r="F24" s="63"/>
    </row>
    <row r="25" spans="1:6" ht="13.5" customHeight="1">
      <c r="A25" s="5" t="s">
        <v>107</v>
      </c>
      <c r="B25" s="63"/>
      <c r="C25" s="63"/>
      <c r="D25" s="63"/>
      <c r="E25" s="63"/>
      <c r="F25" s="63"/>
    </row>
    <row r="26" spans="1:6" ht="12.75">
      <c r="A26" s="51" t="s">
        <v>70</v>
      </c>
      <c r="B26" s="80"/>
      <c r="C26" s="80"/>
      <c r="D26" s="85" t="s">
        <v>17</v>
      </c>
      <c r="E26" s="63"/>
      <c r="F26" s="63"/>
    </row>
    <row r="27" spans="1:6" ht="12.75">
      <c r="A27" s="131" t="s">
        <v>30</v>
      </c>
      <c r="B27" s="132"/>
      <c r="C27" s="86">
        <v>0.0871</v>
      </c>
      <c r="D27" s="9">
        <f>(F6+F10+E14+D23+D19)*C27</f>
        <v>1.3280398299999998</v>
      </c>
      <c r="E27" s="63"/>
      <c r="F27" s="63"/>
    </row>
    <row r="28" spans="2:6" ht="12.75">
      <c r="B28" s="63"/>
      <c r="C28" s="63"/>
      <c r="D28" s="63"/>
      <c r="E28" s="63"/>
      <c r="F28" s="63"/>
    </row>
    <row r="29" spans="1:6" ht="12.75">
      <c r="A29" s="5" t="s">
        <v>108</v>
      </c>
      <c r="B29" s="63"/>
      <c r="C29" s="63"/>
      <c r="D29" s="63"/>
      <c r="E29" s="63"/>
      <c r="F29" s="63"/>
    </row>
    <row r="30" spans="1:6" ht="12.75">
      <c r="A30" s="133" t="s">
        <v>25</v>
      </c>
      <c r="B30" s="134"/>
      <c r="C30" s="87">
        <f>F6+F10+E14+D23+D19+D27</f>
        <v>16.575339829999997</v>
      </c>
      <c r="D30" s="63"/>
      <c r="E30" s="63"/>
      <c r="F30" s="63"/>
    </row>
    <row r="31" spans="2:6" ht="12.75">
      <c r="B31" s="63"/>
      <c r="C31" s="63"/>
      <c r="D31" s="63"/>
      <c r="E31" s="63"/>
      <c r="F31" s="63"/>
    </row>
    <row r="32" spans="2:6" ht="12.75">
      <c r="B32" s="63"/>
      <c r="C32" s="63"/>
      <c r="D32" s="63"/>
      <c r="E32" s="63"/>
      <c r="F32" s="63"/>
    </row>
    <row r="40" ht="12.75">
      <c r="B40" s="127"/>
    </row>
    <row r="41" ht="19.5" customHeight="1">
      <c r="B41" s="127"/>
    </row>
    <row r="42" ht="12.75">
      <c r="B42" s="127"/>
    </row>
  </sheetData>
  <sheetProtection password="D3F7" sheet="1"/>
  <mergeCells count="6">
    <mergeCell ref="D14:D15"/>
    <mergeCell ref="B40:B42"/>
    <mergeCell ref="E14:E15"/>
    <mergeCell ref="C14:C15"/>
    <mergeCell ref="A27:B27"/>
    <mergeCell ref="A30:B30"/>
  </mergeCells>
  <dataValidations count="25">
    <dataValidation type="list" allowBlank="1" showInputMessage="1" showErrorMessage="1" prompt="Enter Direct Staff Staffing Ratio.  Press ALT and the down arrow to bring up the drop down options.  Use arrow keys to scroll through the options and press ENTER on the appropriate selection" sqref="B6">
      <formula1>$H$3:$H$12</formula1>
    </dataValidation>
    <dataValidation allowBlank="1" showInputMessage="1" showErrorMessage="1" prompt="Direct Staff Wage" sqref="C6"/>
    <dataValidation allowBlank="1" showInputMessage="1" showErrorMessage="1" prompt="Direct Staff Hours" sqref="D6"/>
    <dataValidation allowBlank="1" showInputMessage="1" showErrorMessage="1" prompt="Direct Staff Total Cost per Hour formula is Wage times Direct Staff Hours" sqref="E6"/>
    <dataValidation allowBlank="1" showInputMessage="1" showErrorMessage="1" prompt="Direct Staff Pro-rated Cost of Staff per Hour formula is Direct Staff Total Cost per Hour divided by last digit of Staffing Ratio" sqref="F6"/>
    <dataValidation allowBlank="1" showInputMessage="1" showErrorMessage="1" prompt="Supervision Wage" sqref="C10"/>
    <dataValidation allowBlank="1" showInputMessage="1" showErrorMessage="1" prompt="Supervision Hours formula is equal to Direct Staff Hours times Supervision Percent" sqref="E10"/>
    <dataValidation allowBlank="1" showInputMessage="1" showErrorMessage="1" prompt="Supervision Total Cost per Hour formula is (Supervision Wage times Supervision Hours) divided by last digit of Staffing Ratio" sqref="F10"/>
    <dataValidation allowBlank="1" showInputMessage="1" showErrorMessage="1" prompt="No Customization Add-on Amount" sqref="B14"/>
    <dataValidation allowBlank="1" showInputMessage="1" showErrorMessage="1" prompt="Benefit Percentage for Direct Care Staffing " sqref="C27"/>
    <dataValidation allowBlank="1" showInputMessage="1" showErrorMessage="1" prompt="Benefit Amount formula is sum of (Direct Staff Prorated Cost of Staff per Hour plus Supervision Total Cost per Hour plus Staffing Customization Amount per Hour plus RN Amount per Hour plus LPN Amount per Hour) times Benefit Percentage for Direct Staffing" sqref="D27"/>
    <dataValidation allowBlank="1" showInputMessage="1" showErrorMessage="1" prompt="Total Individual Staffing Amount formula is Direct Staff Pro-rated Cost of Staff per Hour plus Supervision Total Cost per Hour plus Staffing Customization Amount per Hour plus RN Amount per Hour plus LPN Amount per Hour plus Benefit Amount" sqref="C30"/>
    <dataValidation allowBlank="1" showInputMessage="1" showErrorMessage="1" prompt="Use CTRL plus arrow keys to move to edge of tables.  Use TAB to move to data entry fields" sqref="A1:B1"/>
    <dataValidation allowBlank="1" showInputMessage="1" showErrorMessage="1" prompt="If Add-on Choice Amount is greater than $0, Staffing Customization Total Hours per Week formula is equal to Direct Staff Hours per Week" sqref="B40:B42"/>
    <dataValidation type="list" allowBlank="1" showInputMessage="1" showErrorMessage="1" prompt="Enter Add-on Amount.  Press ALT and the down arrow to bring up the drop down options.  Use arrow keys to scroll through the options and press ENTER on the appropriate selection" sqref="C14:C15">
      <formula1>$B$14:$B$15</formula1>
    </dataValidation>
    <dataValidation allowBlank="1" showInputMessage="1" showErrorMessage="1" prompt="Staffing Customization Amount per Hour formula is Add-on Amount times Customization Hours" sqref="E14:E15"/>
    <dataValidation allowBlank="1" showInputMessage="1" showErrorMessage="1" prompt="Supervision Percent" sqref="D10"/>
    <dataValidation allowBlank="1" showInputMessage="1" showErrorMessage="1" prompt="If Add-on Choice Amount is greater than $0,  Customization Hours formula is equal to Direct Staff Hours" sqref="D14:D15"/>
    <dataValidation allowBlank="1" showInputMessage="1" showErrorMessage="1" prompt="RN Wage" sqref="B23"/>
    <dataValidation type="decimal" allowBlank="1" showInputMessage="1" showErrorMessage="1" prompt="Enter RN Hours. Press." sqref="C23">
      <formula1>0</formula1>
      <formula2>5</formula2>
    </dataValidation>
    <dataValidation allowBlank="1" showInputMessage="1" showErrorMessage="1" prompt="RN Amount per Hour formula is RN Wage times RN Hours" sqref="D23"/>
    <dataValidation allowBlank="1" showInputMessage="1" showErrorMessage="1" prompt="LPN Wage" sqref="B19"/>
    <dataValidation type="decimal" allowBlank="1" showInputMessage="1" showErrorMessage="1" prompt="Enter LPN Hours." sqref="C19">
      <formula1>0</formula1>
      <formula2>5</formula2>
    </dataValidation>
    <dataValidation allowBlank="1" showInputMessage="1" showErrorMessage="1" prompt="LPN Amount per Hour formula is LPN Wage times LPN Hours" sqref="D19"/>
    <dataValidation allowBlank="1" showInputMessage="1" showErrorMessage="1" prompt="Deaf or hard of hearing Add-on Amount" sqref="B15"/>
  </dataValidations>
  <printOptions/>
  <pageMargins left="0.75" right="0.75" top="1.37" bottom="1" header="0.5" footer="0.5"/>
  <pageSetup fitToHeight="1" fitToWidth="1" horizontalDpi="600" verticalDpi="600" orientation="portrait" scale="78" r:id="rId2"/>
  <headerFooter alignWithMargins="0">
    <oddHeader>&amp;C&amp;G</oddHeader>
    <oddFooter>&amp;LDWRS Draft framework for Adult Day Care Services&amp;R&amp;P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zoomScale="125" zoomScaleNormal="125" zoomScalePageLayoutView="0" workbookViewId="0" topLeftCell="A1">
      <selection activeCell="A1" sqref="A1"/>
    </sheetView>
  </sheetViews>
  <sheetFormatPr defaultColWidth="9.140625" defaultRowHeight="12.75"/>
  <cols>
    <col min="1" max="1" width="3.7109375" style="1" customWidth="1"/>
    <col min="2" max="2" width="62.7109375" style="1" customWidth="1"/>
    <col min="3" max="3" width="13.140625" style="1" customWidth="1"/>
    <col min="4" max="7" width="9.140625" style="2" customWidth="1"/>
    <col min="8" max="16384" width="9.140625" style="1" customWidth="1"/>
  </cols>
  <sheetData>
    <row r="1" spans="1:5" ht="15">
      <c r="A1" s="22" t="s">
        <v>39</v>
      </c>
      <c r="B1" s="22"/>
      <c r="C1" s="22"/>
      <c r="D1" s="29"/>
      <c r="E1" s="29"/>
    </row>
    <row r="2" spans="1:5" ht="12.75">
      <c r="A2" s="29"/>
      <c r="B2" s="29"/>
      <c r="C2" s="29"/>
      <c r="D2" s="29"/>
      <c r="E2" s="29"/>
    </row>
    <row r="3" spans="1:5" ht="12.75">
      <c r="A3" s="5" t="s">
        <v>40</v>
      </c>
      <c r="D3" s="29"/>
      <c r="E3" s="29"/>
    </row>
    <row r="4" spans="1:5" ht="12.75" customHeight="1">
      <c r="A4" s="135" t="s">
        <v>41</v>
      </c>
      <c r="B4" s="136"/>
      <c r="C4" s="137"/>
      <c r="D4" s="29"/>
      <c r="E4" s="29"/>
    </row>
    <row r="5" spans="1:5" ht="27.75" customHeight="1">
      <c r="A5" s="140" t="s">
        <v>103</v>
      </c>
      <c r="B5" s="141"/>
      <c r="C5" s="142"/>
      <c r="D5" s="29"/>
      <c r="E5" s="29"/>
    </row>
    <row r="6" spans="1:5" ht="12.75">
      <c r="A6" s="17"/>
      <c r="B6" s="18" t="s">
        <v>33</v>
      </c>
      <c r="C6" s="19"/>
      <c r="D6" s="29"/>
      <c r="E6" s="29"/>
    </row>
    <row r="7" spans="1:5" ht="12.75">
      <c r="A7" s="17"/>
      <c r="B7" s="18" t="s">
        <v>34</v>
      </c>
      <c r="C7" s="14"/>
      <c r="D7" s="29"/>
      <c r="E7" s="29"/>
    </row>
    <row r="8" spans="1:5" ht="12.75">
      <c r="A8" s="17"/>
      <c r="B8" s="18" t="s">
        <v>38</v>
      </c>
      <c r="C8" s="14"/>
      <c r="D8" s="29"/>
      <c r="E8" s="29"/>
    </row>
    <row r="9" spans="1:5" ht="12.75">
      <c r="A9" s="138" t="s">
        <v>64</v>
      </c>
      <c r="B9" s="139"/>
      <c r="C9" s="41">
        <v>0.056</v>
      </c>
      <c r="D9" s="29"/>
      <c r="E9" s="29"/>
    </row>
    <row r="10" spans="1:5" s="2" customFormat="1" ht="12.75">
      <c r="A10" s="29"/>
      <c r="B10" s="29"/>
      <c r="C10" s="29"/>
      <c r="D10" s="29"/>
      <c r="E10" s="29"/>
    </row>
    <row r="11" spans="1:5" s="2" customFormat="1" ht="12.75">
      <c r="A11" s="29"/>
      <c r="B11" s="29"/>
      <c r="C11" s="29"/>
      <c r="D11" s="29"/>
      <c r="E11" s="29"/>
    </row>
    <row r="12" s="2" customFormat="1" ht="12.75">
      <c r="B12" s="2" t="s">
        <v>49</v>
      </c>
    </row>
    <row r="13" s="2" customFormat="1" ht="12.75">
      <c r="H13" s="2" t="s">
        <v>46</v>
      </c>
    </row>
    <row r="14" spans="1:13" ht="12.75">
      <c r="A14" s="2"/>
      <c r="B14" s="2"/>
      <c r="C14" s="2"/>
      <c r="M14" s="1" t="s">
        <v>47</v>
      </c>
    </row>
  </sheetData>
  <sheetProtection password="D3F7" sheet="1" objects="1" scenarios="1"/>
  <mergeCells count="3">
    <mergeCell ref="A4:C4"/>
    <mergeCell ref="A9:B9"/>
    <mergeCell ref="A5:C5"/>
  </mergeCells>
  <dataValidations count="1">
    <dataValidation allowBlank="1" showInputMessage="1" showErrorMessage="1" prompt="Program Support Percentage" sqref="C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C8" sqref="C8:C18"/>
    </sheetView>
  </sheetViews>
  <sheetFormatPr defaultColWidth="9.140625" defaultRowHeight="12.75"/>
  <cols>
    <col min="1" max="1" width="3.00390625" style="1" customWidth="1"/>
    <col min="2" max="2" width="40.140625" style="1" bestFit="1" customWidth="1"/>
    <col min="3" max="3" width="24.57421875" style="1" customWidth="1"/>
    <col min="4" max="16384" width="9.140625" style="1" customWidth="1"/>
  </cols>
  <sheetData>
    <row r="1" spans="1:5" ht="15">
      <c r="A1" s="22" t="s">
        <v>31</v>
      </c>
      <c r="B1" s="22"/>
      <c r="C1" s="22"/>
      <c r="D1" s="29"/>
      <c r="E1" s="29"/>
    </row>
    <row r="2" spans="1:5" ht="12.75">
      <c r="A2" s="29"/>
      <c r="B2" s="29"/>
      <c r="C2" s="29"/>
      <c r="D2" s="29"/>
      <c r="E2" s="29"/>
    </row>
    <row r="3" spans="1:5" ht="12.75">
      <c r="A3" s="5" t="s">
        <v>21</v>
      </c>
      <c r="D3" s="29"/>
      <c r="E3" s="29"/>
    </row>
    <row r="4" spans="1:5" ht="12.75">
      <c r="A4" s="148" t="s">
        <v>43</v>
      </c>
      <c r="B4" s="149"/>
      <c r="C4" s="20" t="s">
        <v>20</v>
      </c>
      <c r="D4" s="29"/>
      <c r="E4" s="29"/>
    </row>
    <row r="5" spans="1:5" ht="12.75">
      <c r="A5" s="143" t="s">
        <v>28</v>
      </c>
      <c r="B5" s="144"/>
      <c r="C5" s="145">
        <v>0.1156</v>
      </c>
      <c r="D5" s="29"/>
      <c r="E5" s="29"/>
    </row>
    <row r="6" spans="1:5" ht="12.75">
      <c r="A6" s="10"/>
      <c r="B6" s="150" t="s">
        <v>29</v>
      </c>
      <c r="C6" s="146"/>
      <c r="D6" s="29"/>
      <c r="E6" s="29"/>
    </row>
    <row r="7" spans="1:5" ht="12.75">
      <c r="A7" s="11"/>
      <c r="B7" s="151"/>
      <c r="C7" s="147"/>
      <c r="D7" s="29"/>
      <c r="E7" s="29"/>
    </row>
    <row r="8" spans="1:5" ht="12.75">
      <c r="A8" s="143" t="s">
        <v>27</v>
      </c>
      <c r="B8" s="144"/>
      <c r="C8" s="145">
        <v>0.1204</v>
      </c>
      <c r="D8" s="29"/>
      <c r="E8" s="29"/>
    </row>
    <row r="9" spans="1:5" ht="12.75">
      <c r="A9" s="10"/>
      <c r="B9" s="2" t="s">
        <v>2</v>
      </c>
      <c r="C9" s="146"/>
      <c r="D9" s="29"/>
      <c r="E9" s="29"/>
    </row>
    <row r="10" spans="1:5" ht="12.75">
      <c r="A10" s="10"/>
      <c r="B10" s="2" t="s">
        <v>69</v>
      </c>
      <c r="C10" s="146"/>
      <c r="D10" s="29"/>
      <c r="E10" s="29"/>
    </row>
    <row r="11" spans="1:5" ht="12.75">
      <c r="A11" s="10"/>
      <c r="B11" s="2" t="s">
        <v>3</v>
      </c>
      <c r="C11" s="146"/>
      <c r="D11" s="29"/>
      <c r="E11" s="29"/>
    </row>
    <row r="12" spans="1:5" ht="12.75">
      <c r="A12" s="10"/>
      <c r="B12" s="2" t="s">
        <v>4</v>
      </c>
      <c r="C12" s="146"/>
      <c r="D12" s="29"/>
      <c r="E12" s="29"/>
    </row>
    <row r="13" spans="1:5" ht="12.75">
      <c r="A13" s="10"/>
      <c r="B13" s="2" t="s">
        <v>6</v>
      </c>
      <c r="C13" s="146"/>
      <c r="D13" s="29"/>
      <c r="E13" s="29"/>
    </row>
    <row r="14" spans="1:5" ht="12.75">
      <c r="A14" s="10"/>
      <c r="B14" s="2" t="s">
        <v>5</v>
      </c>
      <c r="C14" s="146"/>
      <c r="D14" s="29"/>
      <c r="E14" s="29"/>
    </row>
    <row r="15" spans="1:5" ht="12.75">
      <c r="A15" s="10"/>
      <c r="B15" s="2" t="s">
        <v>7</v>
      </c>
      <c r="C15" s="146"/>
      <c r="D15" s="29"/>
      <c r="E15" s="29"/>
    </row>
    <row r="16" spans="1:5" ht="12.75">
      <c r="A16" s="10"/>
      <c r="B16" s="2" t="s">
        <v>8</v>
      </c>
      <c r="C16" s="146"/>
      <c r="D16" s="29"/>
      <c r="E16" s="29"/>
    </row>
    <row r="17" spans="1:5" ht="12.75">
      <c r="A17" s="10"/>
      <c r="B17" s="2" t="s">
        <v>26</v>
      </c>
      <c r="C17" s="146"/>
      <c r="D17" s="29"/>
      <c r="E17" s="29"/>
    </row>
    <row r="18" spans="1:5" ht="11.25" customHeight="1">
      <c r="A18" s="11"/>
      <c r="B18" s="12"/>
      <c r="C18" s="147"/>
      <c r="D18" s="29"/>
      <c r="E18" s="29"/>
    </row>
    <row r="19" spans="1:5" ht="12.75">
      <c r="A19" s="138" t="s">
        <v>81</v>
      </c>
      <c r="B19" s="139"/>
      <c r="C19" s="42">
        <f>SUM(C5:C18)</f>
        <v>0.236</v>
      </c>
      <c r="D19" s="29"/>
      <c r="E19" s="29"/>
    </row>
    <row r="20" spans="1:5" ht="12.75">
      <c r="A20" s="29"/>
      <c r="B20" s="29"/>
      <c r="C20" s="29"/>
      <c r="D20" s="29"/>
      <c r="E20" s="29"/>
    </row>
    <row r="21" spans="1:5" ht="12.75">
      <c r="A21" s="1" t="s">
        <v>42</v>
      </c>
      <c r="C21" s="29"/>
      <c r="D21" s="29"/>
      <c r="E21" s="29"/>
    </row>
    <row r="22" spans="1:5" ht="12.75">
      <c r="A22" s="29"/>
      <c r="B22" s="29"/>
      <c r="C22" s="29"/>
      <c r="D22" s="29"/>
      <c r="E22" s="29"/>
    </row>
    <row r="23" spans="1:5" ht="12.75">
      <c r="A23" s="29"/>
      <c r="B23" s="29"/>
      <c r="C23" s="29"/>
      <c r="D23" s="29"/>
      <c r="E23" s="29"/>
    </row>
  </sheetData>
  <sheetProtection password="D3F7" sheet="1" objects="1" scenarios="1"/>
  <mergeCells count="7">
    <mergeCell ref="A19:B19"/>
    <mergeCell ref="A8:B8"/>
    <mergeCell ref="C8:C18"/>
    <mergeCell ref="A4:B4"/>
    <mergeCell ref="A5:B5"/>
    <mergeCell ref="C5:C7"/>
    <mergeCell ref="B6:B7"/>
  </mergeCells>
  <dataValidations count="3">
    <dataValidation allowBlank="1" showInputMessage="1" showErrorMessage="1" prompt="Taxes and Workers Comp Percentage" sqref="C5:C7"/>
    <dataValidation allowBlank="1" showInputMessage="1" showErrorMessage="1" prompt="Other Benefits Percentage" sqref="C8:C18"/>
    <dataValidation allowBlank="1" showInputMessage="1" showErrorMessage="1" prompt="Employee Related Expense Percentage formula is equal to Taxes and Workers Comp Percentage plus Other Benefits Percentage" sqref="C19"/>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125" zoomScaleNormal="125" zoomScalePageLayoutView="0" workbookViewId="0" topLeftCell="A1">
      <selection activeCell="C5" sqref="C5"/>
    </sheetView>
  </sheetViews>
  <sheetFormatPr defaultColWidth="9.140625" defaultRowHeight="12.75"/>
  <cols>
    <col min="1" max="1" width="40.8515625" style="1" customWidth="1"/>
    <col min="2" max="2" width="20.421875" style="1" customWidth="1"/>
    <col min="3" max="3" width="18.140625" style="1" customWidth="1"/>
    <col min="4" max="16384" width="9.140625" style="1" customWidth="1"/>
  </cols>
  <sheetData>
    <row r="1" spans="1:5" ht="15">
      <c r="A1" s="22" t="s">
        <v>35</v>
      </c>
      <c r="B1" s="22"/>
      <c r="C1" s="29"/>
      <c r="D1" s="29"/>
      <c r="E1" s="29"/>
    </row>
    <row r="2" spans="1:5" ht="12.75">
      <c r="A2" s="29"/>
      <c r="B2" s="29"/>
      <c r="C2" s="29"/>
      <c r="D2" s="29"/>
      <c r="E2" s="29"/>
    </row>
    <row r="3" spans="1:5" ht="12.75">
      <c r="A3" s="5" t="s">
        <v>44</v>
      </c>
      <c r="C3" s="29"/>
      <c r="D3" s="29"/>
      <c r="E3" s="29"/>
    </row>
    <row r="4" spans="1:5" ht="12.75">
      <c r="A4" s="148" t="s">
        <v>19</v>
      </c>
      <c r="B4" s="149"/>
      <c r="C4" s="20" t="s">
        <v>37</v>
      </c>
      <c r="D4" s="29"/>
      <c r="E4" s="29"/>
    </row>
    <row r="5" spans="1:5" ht="126.75" customHeight="1">
      <c r="A5" s="154" t="s">
        <v>104</v>
      </c>
      <c r="B5" s="153"/>
      <c r="C5" s="43">
        <v>0.1</v>
      </c>
      <c r="D5" s="29"/>
      <c r="E5" s="29"/>
    </row>
    <row r="6" spans="1:5" ht="12.75">
      <c r="A6" s="29"/>
      <c r="B6" s="29"/>
      <c r="C6" s="29"/>
      <c r="D6" s="29"/>
      <c r="E6" s="29"/>
    </row>
    <row r="7" spans="1:5" ht="12.75">
      <c r="A7" s="5" t="s">
        <v>71</v>
      </c>
      <c r="C7" s="29"/>
      <c r="D7" s="29"/>
      <c r="E7" s="29"/>
    </row>
    <row r="8" spans="1:5" ht="12.75">
      <c r="A8" s="148" t="s">
        <v>52</v>
      </c>
      <c r="B8" s="149"/>
      <c r="C8" s="20" t="s">
        <v>51</v>
      </c>
      <c r="D8" s="29"/>
      <c r="E8" s="29"/>
    </row>
    <row r="9" spans="1:5" ht="12.75">
      <c r="A9" s="152" t="s">
        <v>53</v>
      </c>
      <c r="B9" s="153"/>
      <c r="C9" s="43">
        <f>C5</f>
        <v>0.1</v>
      </c>
      <c r="D9" s="29"/>
      <c r="E9" s="29"/>
    </row>
    <row r="10" spans="1:5" ht="12.75">
      <c r="A10" s="29"/>
      <c r="B10" s="29"/>
      <c r="C10" s="29"/>
      <c r="D10" s="29"/>
      <c r="E10" s="29"/>
    </row>
    <row r="11" spans="1:5" ht="12.75">
      <c r="A11" s="29"/>
      <c r="B11" s="29"/>
      <c r="C11" s="29"/>
      <c r="D11" s="29"/>
      <c r="E11" s="29"/>
    </row>
  </sheetData>
  <sheetProtection password="D3F7" sheet="1" objects="1" scenarios="1"/>
  <mergeCells count="4">
    <mergeCell ref="A8:B8"/>
    <mergeCell ref="A9:B9"/>
    <mergeCell ref="A4:B4"/>
    <mergeCell ref="A5:B5"/>
  </mergeCells>
  <dataValidations count="2">
    <dataValidation allowBlank="1" showInputMessage="1" showErrorMessage="1" prompt="Standard Client Programming and Supports Percentage" sqref="C5"/>
    <dataValidation allowBlank="1" showInputMessage="1" showErrorMessage="1" prompt="Client Programming and Supports Percentage formula is equal to Standard Client Programming and Supports Percentage" sqref="C9"/>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Adult Day Care Services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B4" sqref="B4"/>
    </sheetView>
  </sheetViews>
  <sheetFormatPr defaultColWidth="9.140625" defaultRowHeight="12.75"/>
  <cols>
    <col min="1" max="1" width="10.7109375" style="1" customWidth="1"/>
    <col min="2" max="2" width="15.57421875" style="1" customWidth="1"/>
    <col min="3" max="3" width="15.7109375" style="1" customWidth="1"/>
    <col min="4" max="16384" width="9.140625" style="1" customWidth="1"/>
  </cols>
  <sheetData>
    <row r="1" spans="1:6" ht="15">
      <c r="A1" s="22" t="s">
        <v>48</v>
      </c>
      <c r="B1" s="22"/>
      <c r="C1" s="22"/>
      <c r="D1" s="29"/>
      <c r="E1" s="29"/>
      <c r="F1" s="29"/>
    </row>
    <row r="2" spans="1:6" ht="12.75">
      <c r="A2" s="29"/>
      <c r="B2" s="29"/>
      <c r="C2" s="29"/>
      <c r="D2" s="29"/>
      <c r="E2" s="29"/>
      <c r="F2" s="29"/>
    </row>
    <row r="3" spans="1:6" ht="13.5" thickBot="1">
      <c r="A3" s="5" t="s">
        <v>54</v>
      </c>
      <c r="E3" s="29"/>
      <c r="F3" s="29"/>
    </row>
    <row r="4" spans="1:6" ht="25.5">
      <c r="A4" s="25" t="s">
        <v>55</v>
      </c>
      <c r="B4" s="59" t="s">
        <v>101</v>
      </c>
      <c r="C4" s="59" t="s">
        <v>102</v>
      </c>
      <c r="D4" s="29"/>
      <c r="E4" s="29"/>
      <c r="F4" s="29"/>
    </row>
    <row r="5" spans="1:6" ht="12.75">
      <c r="A5" s="26" t="str">
        <f>'Direct Staffing'!B6</f>
        <v>1:1</v>
      </c>
      <c r="B5" s="27">
        <f>19.3/30</f>
        <v>0.6433333333333333</v>
      </c>
      <c r="C5" s="28">
        <f>((1+1/(VLOOKUP(A5,'Direct Staffing'!H3:K12,2,FALSE)))*B5)</f>
        <v>1.2866666666666666</v>
      </c>
      <c r="D5" s="29"/>
      <c r="E5" s="29"/>
      <c r="F5" s="29"/>
    </row>
    <row r="6" spans="1:6" ht="12.75">
      <c r="A6" s="29"/>
      <c r="B6" s="29"/>
      <c r="C6" s="29"/>
      <c r="D6" s="29"/>
      <c r="E6" s="29"/>
      <c r="F6" s="29"/>
    </row>
    <row r="7" spans="1:6" ht="12.75">
      <c r="A7" s="29"/>
      <c r="B7" s="29"/>
      <c r="C7" s="29"/>
      <c r="D7" s="29"/>
      <c r="E7" s="29"/>
      <c r="F7" s="29"/>
    </row>
  </sheetData>
  <sheetProtection password="D3F7" sheet="1"/>
  <dataValidations count="3">
    <dataValidation allowBlank="1" showInputMessage="1" showErrorMessage="1" prompt="Staffing Ratio formula is equal to Direct Staff Staffing Ratio from Direct Staffing Sheet" sqref="A5"/>
    <dataValidation allowBlank="1" showInputMessage="1" showErrorMessage="1" prompt="Rate per Person per Hour formula is $19.30 divided by thirty" sqref="B5"/>
    <dataValidation allowBlank="1" showInputMessage="1" showErrorMessage="1" prompt="Hourly Facility Cost formula is equal to Ratio Factor times Rate per Person per Hour" sqref="C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6.xml><?xml version="1.0" encoding="utf-8"?>
<worksheet xmlns="http://schemas.openxmlformats.org/spreadsheetml/2006/main" xmlns:r="http://schemas.openxmlformats.org/officeDocument/2006/relationships">
  <sheetPr>
    <pageSetUpPr fitToPage="1"/>
  </sheetPr>
  <dimension ref="A1:G12"/>
  <sheetViews>
    <sheetView zoomScale="125" zoomScaleNormal="125" zoomScalePageLayoutView="0" workbookViewId="0" topLeftCell="A1">
      <selection activeCell="B12" sqref="B12"/>
    </sheetView>
  </sheetViews>
  <sheetFormatPr defaultColWidth="9.140625" defaultRowHeight="12.75"/>
  <cols>
    <col min="1" max="1" width="9.140625" style="1" customWidth="1"/>
    <col min="2" max="2" width="24.7109375" style="1" customWidth="1"/>
    <col min="3" max="3" width="10.140625" style="1" bestFit="1" customWidth="1"/>
    <col min="4" max="4" width="9.140625" style="1" customWidth="1"/>
    <col min="5" max="6" width="11.28125" style="1" customWidth="1"/>
    <col min="7" max="16384" width="9.140625" style="1" customWidth="1"/>
  </cols>
  <sheetData>
    <row r="1" spans="1:7" ht="15">
      <c r="A1" s="22" t="s">
        <v>72</v>
      </c>
      <c r="B1" s="22"/>
      <c r="C1" s="22"/>
      <c r="D1" s="29"/>
      <c r="E1" s="29"/>
      <c r="F1" s="29"/>
      <c r="G1" s="29"/>
    </row>
    <row r="2" spans="1:7" ht="12.75">
      <c r="A2" s="29"/>
      <c r="B2" s="29"/>
      <c r="C2" s="29"/>
      <c r="D2" s="29"/>
      <c r="E2" s="29"/>
      <c r="F2" s="29"/>
      <c r="G2" s="29"/>
    </row>
    <row r="3" spans="1:7" ht="12.75">
      <c r="A3" s="94" t="s">
        <v>73</v>
      </c>
      <c r="B3" s="94"/>
      <c r="C3" s="94"/>
      <c r="D3" s="94"/>
      <c r="E3" s="94"/>
      <c r="F3" s="94"/>
      <c r="G3" s="29"/>
    </row>
    <row r="4" spans="1:7" ht="12.75">
      <c r="A4" s="159" t="s">
        <v>10</v>
      </c>
      <c r="B4" s="159"/>
      <c r="C4" s="159"/>
      <c r="D4" s="159"/>
      <c r="E4" s="21" t="s">
        <v>22</v>
      </c>
      <c r="F4" s="29"/>
      <c r="G4" s="29"/>
    </row>
    <row r="5" spans="1:7" ht="12" customHeight="1">
      <c r="A5" s="160" t="s">
        <v>67</v>
      </c>
      <c r="B5" s="160"/>
      <c r="C5" s="160"/>
      <c r="D5" s="160"/>
      <c r="E5" s="44">
        <v>0.1325</v>
      </c>
      <c r="F5" s="29"/>
      <c r="G5" s="29"/>
    </row>
    <row r="6" spans="1:7" ht="12.75">
      <c r="A6" s="160" t="s">
        <v>68</v>
      </c>
      <c r="B6" s="160"/>
      <c r="C6" s="160"/>
      <c r="D6" s="160"/>
      <c r="E6" s="44">
        <v>0.018</v>
      </c>
      <c r="F6" s="29"/>
      <c r="G6" s="29"/>
    </row>
    <row r="7" spans="1:7" ht="12.75">
      <c r="A7" s="155" t="s">
        <v>74</v>
      </c>
      <c r="B7" s="156"/>
      <c r="C7" s="156"/>
      <c r="D7" s="157"/>
      <c r="E7" s="44">
        <v>0.039</v>
      </c>
      <c r="F7" s="29"/>
      <c r="G7" s="29"/>
    </row>
    <row r="8" spans="1:7" ht="12.75">
      <c r="A8" s="158" t="s">
        <v>75</v>
      </c>
      <c r="B8" s="158"/>
      <c r="C8" s="158"/>
      <c r="D8" s="158"/>
      <c r="E8" s="42">
        <f>SUM(E5:E7)</f>
        <v>0.1895</v>
      </c>
      <c r="F8" s="29"/>
      <c r="G8" s="29"/>
    </row>
    <row r="9" spans="1:7" ht="12.75">
      <c r="A9" s="29"/>
      <c r="B9" s="29"/>
      <c r="C9" s="29"/>
      <c r="D9" s="29"/>
      <c r="E9" s="29"/>
      <c r="F9" s="29"/>
      <c r="G9" s="29"/>
    </row>
    <row r="10" spans="3:7" ht="12.75">
      <c r="C10" s="29"/>
      <c r="D10" s="29"/>
      <c r="E10" s="29"/>
      <c r="F10" s="29"/>
      <c r="G10" s="29"/>
    </row>
    <row r="11" spans="1:7" ht="12.75">
      <c r="A11" s="29"/>
      <c r="B11" s="29"/>
      <c r="C11" s="29"/>
      <c r="D11" s="29"/>
      <c r="E11" s="29"/>
      <c r="F11" s="29"/>
      <c r="G11" s="29"/>
    </row>
    <row r="12" spans="1:7" ht="12.75">
      <c r="A12" s="29"/>
      <c r="B12" s="29"/>
      <c r="C12" s="29"/>
      <c r="D12" s="29"/>
      <c r="E12" s="29"/>
      <c r="F12" s="29"/>
      <c r="G12" s="29"/>
    </row>
  </sheetData>
  <sheetProtection password="D3F7" sheet="1" objects="1" scenarios="1"/>
  <mergeCells count="5">
    <mergeCell ref="A7:D7"/>
    <mergeCell ref="A8:D8"/>
    <mergeCell ref="A4:D4"/>
    <mergeCell ref="A5:D5"/>
    <mergeCell ref="A6:D6"/>
  </mergeCells>
  <dataValidations count="4">
    <dataValidation allowBlank="1" showInputMessage="1" showErrorMessage="1" prompt="Standard General and Administrative Support Percentage" sqref="E5"/>
    <dataValidation allowBlank="1" showInputMessage="1" showErrorMessage="1" prompt="Program General and Administrative Percentage" sqref="E6"/>
    <dataValidation allowBlank="1" showInputMessage="1" showErrorMessage="1" prompt="Utilization Factor Percentage" sqref="E7"/>
    <dataValidation allowBlank="1" showInputMessage="1" showErrorMessage="1" prompt="Program Related Expenses Percentage formula is Standard General and Administrative Percentage plus Program General and Administrative Percentage plus Utilization Factor Percentage" sqref="E8"/>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Adult Day Care Services - &amp;A&amp;R&amp;P</oddFooter>
  </headerFooter>
  <legacyDrawingHF r:id="rId1"/>
</worksheet>
</file>

<file path=xl/worksheets/sheet7.xml><?xml version="1.0" encoding="utf-8"?>
<worksheet xmlns="http://schemas.openxmlformats.org/spreadsheetml/2006/main" xmlns:r="http://schemas.openxmlformats.org/officeDocument/2006/relationships">
  <dimension ref="A3:F97"/>
  <sheetViews>
    <sheetView zoomScalePageLayoutView="0" workbookViewId="0" topLeftCell="A1">
      <selection activeCell="I100" sqref="I10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98" bestFit="1" customWidth="1"/>
  </cols>
  <sheetData>
    <row r="3" spans="1:4" ht="12.75">
      <c r="A3" s="5" t="s">
        <v>128</v>
      </c>
      <c r="B3" s="63"/>
      <c r="C3" s="63"/>
      <c r="D3" s="63"/>
    </row>
    <row r="4" spans="1:4" ht="12.75">
      <c r="A4" s="51" t="s">
        <v>129</v>
      </c>
      <c r="B4" s="161" t="s">
        <v>130</v>
      </c>
      <c r="C4" s="162"/>
      <c r="D4" s="163"/>
    </row>
    <row r="5" spans="1:4" ht="12.75">
      <c r="A5" s="51" t="s">
        <v>131</v>
      </c>
      <c r="B5" s="164" t="str">
        <f>INDEX($C$10:$C$97,MATCH(B4:D4,B10:B97,0))</f>
        <v>Unspecified Region</v>
      </c>
      <c r="C5" s="165"/>
      <c r="D5" s="166"/>
    </row>
    <row r="7" spans="1:2" ht="12.75" hidden="1">
      <c r="A7" t="s">
        <v>132</v>
      </c>
      <c r="B7" t="str">
        <f>INDEX($D$10:$D$97,MATCH(B4:D4,B10:B97,0))</f>
        <v>-</v>
      </c>
    </row>
    <row r="8" ht="12.75" hidden="1"/>
    <row r="9" spans="2:6" ht="15" hidden="1">
      <c r="B9" s="99" t="s">
        <v>133</v>
      </c>
      <c r="C9" s="99" t="s">
        <v>134</v>
      </c>
      <c r="D9" s="100" t="s">
        <v>132</v>
      </c>
      <c r="F9"/>
    </row>
    <row r="10" spans="2:6" ht="15" hidden="1">
      <c r="B10" s="101" t="s">
        <v>130</v>
      </c>
      <c r="C10" s="101" t="s">
        <v>135</v>
      </c>
      <c r="D10" s="102" t="s">
        <v>136</v>
      </c>
      <c r="F10"/>
    </row>
    <row r="11" spans="2:6" ht="15" hidden="1">
      <c r="B11" s="103" t="s">
        <v>137</v>
      </c>
      <c r="C11" s="103" t="s">
        <v>138</v>
      </c>
      <c r="D11" s="104">
        <v>1.001</v>
      </c>
      <c r="F11"/>
    </row>
    <row r="12" spans="2:6" ht="15" hidden="1">
      <c r="B12" s="103" t="s">
        <v>139</v>
      </c>
      <c r="C12" s="103" t="s">
        <v>140</v>
      </c>
      <c r="D12" s="104">
        <v>1.023</v>
      </c>
      <c r="F12"/>
    </row>
    <row r="13" spans="2:6" ht="15" hidden="1">
      <c r="B13" s="103" t="s">
        <v>141</v>
      </c>
      <c r="C13" s="103" t="s">
        <v>142</v>
      </c>
      <c r="D13" s="104">
        <v>0.947</v>
      </c>
      <c r="F13"/>
    </row>
    <row r="14" spans="2:6" ht="15" hidden="1">
      <c r="B14" s="103" t="s">
        <v>143</v>
      </c>
      <c r="C14" s="103" t="s">
        <v>142</v>
      </c>
      <c r="D14" s="104">
        <v>0.947</v>
      </c>
      <c r="F14"/>
    </row>
    <row r="15" spans="2:6" ht="15" hidden="1">
      <c r="B15" s="103" t="s">
        <v>144</v>
      </c>
      <c r="C15" s="103" t="s">
        <v>145</v>
      </c>
      <c r="D15" s="104">
        <v>0.961</v>
      </c>
      <c r="F15"/>
    </row>
    <row r="16" spans="2:6" ht="15" hidden="1">
      <c r="B16" s="103" t="s">
        <v>146</v>
      </c>
      <c r="C16" s="105" t="s">
        <v>147</v>
      </c>
      <c r="D16" s="104">
        <v>0.963</v>
      </c>
      <c r="F16"/>
    </row>
    <row r="17" spans="2:6" ht="15" hidden="1">
      <c r="B17" s="103" t="s">
        <v>148</v>
      </c>
      <c r="C17" s="103" t="s">
        <v>149</v>
      </c>
      <c r="D17" s="104">
        <v>1.063</v>
      </c>
      <c r="F17"/>
    </row>
    <row r="18" spans="2:6" ht="15" hidden="1">
      <c r="B18" s="103" t="s">
        <v>150</v>
      </c>
      <c r="C18" s="105" t="s">
        <v>151</v>
      </c>
      <c r="D18" s="104">
        <v>0.959</v>
      </c>
      <c r="F18"/>
    </row>
    <row r="19" spans="2:6" ht="15" hidden="1">
      <c r="B19" s="103" t="s">
        <v>152</v>
      </c>
      <c r="C19" s="105" t="s">
        <v>153</v>
      </c>
      <c r="D19" s="104">
        <v>0.966</v>
      </c>
      <c r="F19"/>
    </row>
    <row r="20" spans="2:6" ht="15" hidden="1">
      <c r="B20" s="103" t="s">
        <v>154</v>
      </c>
      <c r="C20" s="103" t="s">
        <v>140</v>
      </c>
      <c r="D20" s="104">
        <v>1.023</v>
      </c>
      <c r="F20"/>
    </row>
    <row r="21" spans="2:6" ht="15" hidden="1">
      <c r="B21" s="103" t="s">
        <v>155</v>
      </c>
      <c r="C21" s="103" t="s">
        <v>142</v>
      </c>
      <c r="D21" s="104">
        <v>0.947</v>
      </c>
      <c r="F21"/>
    </row>
    <row r="22" spans="2:6" ht="15" hidden="1">
      <c r="B22" s="103" t="s">
        <v>156</v>
      </c>
      <c r="C22" s="105" t="s">
        <v>147</v>
      </c>
      <c r="D22" s="104">
        <v>0.963</v>
      </c>
      <c r="F22"/>
    </row>
    <row r="23" spans="2:6" ht="15" hidden="1">
      <c r="B23" s="103" t="s">
        <v>157</v>
      </c>
      <c r="C23" s="105" t="s">
        <v>140</v>
      </c>
      <c r="D23" s="104">
        <v>1.023</v>
      </c>
      <c r="F23"/>
    </row>
    <row r="24" spans="2:6" ht="15" hidden="1">
      <c r="B24" s="103" t="s">
        <v>158</v>
      </c>
      <c r="C24" s="105" t="s">
        <v>159</v>
      </c>
      <c r="D24" s="104">
        <v>1.001</v>
      </c>
      <c r="F24"/>
    </row>
    <row r="25" spans="2:6" ht="15" hidden="1">
      <c r="B25" s="103" t="s">
        <v>160</v>
      </c>
      <c r="C25" s="103" t="s">
        <v>142</v>
      </c>
      <c r="D25" s="104">
        <v>0.947</v>
      </c>
      <c r="F25"/>
    </row>
    <row r="26" spans="2:6" ht="15" hidden="1">
      <c r="B26" s="103" t="s">
        <v>161</v>
      </c>
      <c r="C26" s="105" t="s">
        <v>138</v>
      </c>
      <c r="D26" s="104">
        <v>1.001</v>
      </c>
      <c r="F26"/>
    </row>
    <row r="27" spans="2:6" ht="15" hidden="1">
      <c r="B27" s="103" t="s">
        <v>162</v>
      </c>
      <c r="C27" s="105" t="s">
        <v>147</v>
      </c>
      <c r="D27" s="104">
        <v>0.963</v>
      </c>
      <c r="F27"/>
    </row>
    <row r="28" spans="2:6" ht="15" hidden="1">
      <c r="B28" s="103" t="s">
        <v>163</v>
      </c>
      <c r="C28" s="103" t="s">
        <v>142</v>
      </c>
      <c r="D28" s="104">
        <v>0.947</v>
      </c>
      <c r="F28"/>
    </row>
    <row r="29" spans="2:6" ht="15" hidden="1">
      <c r="B29" s="103" t="s">
        <v>164</v>
      </c>
      <c r="C29" s="103" t="s">
        <v>140</v>
      </c>
      <c r="D29" s="104">
        <v>1.023</v>
      </c>
      <c r="F29"/>
    </row>
    <row r="30" spans="2:6" ht="15" hidden="1">
      <c r="B30" s="103" t="s">
        <v>165</v>
      </c>
      <c r="C30" s="105" t="s">
        <v>166</v>
      </c>
      <c r="D30" s="104">
        <v>0.988</v>
      </c>
      <c r="F30"/>
    </row>
    <row r="31" spans="2:6" ht="15" hidden="1">
      <c r="B31" s="103" t="s">
        <v>167</v>
      </c>
      <c r="C31" s="103" t="s">
        <v>142</v>
      </c>
      <c r="D31" s="104">
        <v>0.947</v>
      </c>
      <c r="F31"/>
    </row>
    <row r="32" spans="2:6" ht="15" hidden="1">
      <c r="B32" s="103" t="s">
        <v>168</v>
      </c>
      <c r="C32" s="105" t="s">
        <v>151</v>
      </c>
      <c r="D32" s="104">
        <v>0.959</v>
      </c>
      <c r="F32"/>
    </row>
    <row r="33" spans="2:6" ht="15" hidden="1">
      <c r="B33" s="103" t="s">
        <v>169</v>
      </c>
      <c r="C33" s="105" t="s">
        <v>151</v>
      </c>
      <c r="D33" s="104">
        <v>0.959</v>
      </c>
      <c r="F33"/>
    </row>
    <row r="34" spans="2:6" ht="15" hidden="1">
      <c r="B34" s="103" t="s">
        <v>170</v>
      </c>
      <c r="C34" s="105" t="s">
        <v>151</v>
      </c>
      <c r="D34" s="104">
        <v>0.959</v>
      </c>
      <c r="F34"/>
    </row>
    <row r="35" spans="2:6" ht="15" hidden="1">
      <c r="B35" s="103" t="s">
        <v>171</v>
      </c>
      <c r="C35" s="105" t="s">
        <v>151</v>
      </c>
      <c r="D35" s="104">
        <v>0.959</v>
      </c>
      <c r="F35"/>
    </row>
    <row r="36" spans="2:6" ht="15" hidden="1">
      <c r="B36" s="103" t="s">
        <v>172</v>
      </c>
      <c r="C36" s="103" t="s">
        <v>142</v>
      </c>
      <c r="D36" s="104">
        <v>0.947</v>
      </c>
      <c r="F36"/>
    </row>
    <row r="37" spans="2:6" ht="15" hidden="1">
      <c r="B37" s="103" t="s">
        <v>173</v>
      </c>
      <c r="C37" s="103" t="s">
        <v>140</v>
      </c>
      <c r="D37" s="104">
        <v>1.023</v>
      </c>
      <c r="F37"/>
    </row>
    <row r="38" spans="2:6" ht="15" hidden="1">
      <c r="B38" s="103" t="s">
        <v>174</v>
      </c>
      <c r="C38" s="105" t="s">
        <v>175</v>
      </c>
      <c r="D38" s="104">
        <v>1.049</v>
      </c>
      <c r="F38"/>
    </row>
    <row r="39" spans="2:6" ht="15" hidden="1">
      <c r="B39" s="103" t="s">
        <v>176</v>
      </c>
      <c r="C39" s="103" t="s">
        <v>142</v>
      </c>
      <c r="D39" s="104">
        <v>0.947</v>
      </c>
      <c r="F39"/>
    </row>
    <row r="40" spans="2:6" ht="15" hidden="1">
      <c r="B40" s="103" t="s">
        <v>177</v>
      </c>
      <c r="C40" s="105" t="s">
        <v>140</v>
      </c>
      <c r="D40" s="104">
        <v>1.023</v>
      </c>
      <c r="F40"/>
    </row>
    <row r="41" spans="2:6" ht="15" hidden="1">
      <c r="B41" s="103" t="s">
        <v>178</v>
      </c>
      <c r="C41" s="105" t="s">
        <v>138</v>
      </c>
      <c r="D41" s="104">
        <v>1.001</v>
      </c>
      <c r="F41"/>
    </row>
    <row r="42" spans="2:6" ht="15" hidden="1">
      <c r="B42" s="103" t="s">
        <v>179</v>
      </c>
      <c r="C42" s="105" t="s">
        <v>147</v>
      </c>
      <c r="D42" s="104">
        <v>0.963</v>
      </c>
      <c r="F42"/>
    </row>
    <row r="43" spans="2:6" ht="15" hidden="1">
      <c r="B43" s="103" t="s">
        <v>180</v>
      </c>
      <c r="C43" s="105" t="s">
        <v>138</v>
      </c>
      <c r="D43" s="104">
        <v>1.001</v>
      </c>
      <c r="F43"/>
    </row>
    <row r="44" spans="2:6" ht="15" hidden="1">
      <c r="B44" s="103" t="s">
        <v>181</v>
      </c>
      <c r="C44" s="105" t="s">
        <v>147</v>
      </c>
      <c r="D44" s="104">
        <v>0.963</v>
      </c>
      <c r="F44"/>
    </row>
    <row r="45" spans="2:6" ht="15" hidden="1">
      <c r="B45" s="103" t="s">
        <v>182</v>
      </c>
      <c r="C45" s="103" t="s">
        <v>142</v>
      </c>
      <c r="D45" s="104">
        <v>0.947</v>
      </c>
      <c r="F45"/>
    </row>
    <row r="46" spans="2:6" ht="15" hidden="1">
      <c r="B46" s="103" t="s">
        <v>183</v>
      </c>
      <c r="C46" s="105" t="s">
        <v>138</v>
      </c>
      <c r="D46" s="104">
        <v>1.001</v>
      </c>
      <c r="F46"/>
    </row>
    <row r="47" spans="2:6" ht="15" hidden="1">
      <c r="B47" s="103" t="s">
        <v>184</v>
      </c>
      <c r="C47" s="105" t="s">
        <v>147</v>
      </c>
      <c r="D47" s="104">
        <v>0.963</v>
      </c>
      <c r="F47"/>
    </row>
    <row r="48" spans="2:6" ht="15" hidden="1">
      <c r="B48" s="103" t="s">
        <v>185</v>
      </c>
      <c r="C48" s="105" t="s">
        <v>138</v>
      </c>
      <c r="D48" s="104">
        <v>1.001</v>
      </c>
      <c r="F48"/>
    </row>
    <row r="49" spans="2:6" ht="15" hidden="1">
      <c r="B49" s="103" t="s">
        <v>186</v>
      </c>
      <c r="C49" s="103" t="s">
        <v>142</v>
      </c>
      <c r="D49" s="104">
        <v>0.947</v>
      </c>
      <c r="F49"/>
    </row>
    <row r="50" spans="2:6" ht="15" hidden="1">
      <c r="B50" s="103" t="s">
        <v>187</v>
      </c>
      <c r="C50" s="105" t="s">
        <v>151</v>
      </c>
      <c r="D50" s="104">
        <v>0.959</v>
      </c>
      <c r="F50"/>
    </row>
    <row r="51" spans="2:6" ht="15" hidden="1">
      <c r="B51" s="103" t="s">
        <v>188</v>
      </c>
      <c r="C51" s="105" t="s">
        <v>147</v>
      </c>
      <c r="D51" s="104">
        <v>0.963</v>
      </c>
      <c r="F51"/>
    </row>
    <row r="52" spans="2:6" ht="15" hidden="1">
      <c r="B52" s="103" t="s">
        <v>189</v>
      </c>
      <c r="C52" s="105" t="s">
        <v>147</v>
      </c>
      <c r="D52" s="104">
        <v>0.963</v>
      </c>
      <c r="F52"/>
    </row>
    <row r="53" spans="2:6" ht="15" hidden="1">
      <c r="B53" s="103" t="s">
        <v>193</v>
      </c>
      <c r="C53" s="105" t="s">
        <v>147</v>
      </c>
      <c r="D53" s="104">
        <v>0.963</v>
      </c>
      <c r="F53"/>
    </row>
    <row r="54" spans="2:6" ht="15" hidden="1">
      <c r="B54" s="103" t="s">
        <v>190</v>
      </c>
      <c r="C54" s="103" t="s">
        <v>142</v>
      </c>
      <c r="D54" s="104">
        <v>0.947</v>
      </c>
      <c r="F54"/>
    </row>
    <row r="55" spans="2:6" ht="15" hidden="1">
      <c r="B55" s="103" t="s">
        <v>191</v>
      </c>
      <c r="C55" s="103" t="s">
        <v>142</v>
      </c>
      <c r="D55" s="104">
        <v>0.947</v>
      </c>
      <c r="F55"/>
    </row>
    <row r="56" spans="2:6" ht="15" hidden="1">
      <c r="B56" s="103" t="s">
        <v>192</v>
      </c>
      <c r="C56" s="105" t="s">
        <v>151</v>
      </c>
      <c r="D56" s="104">
        <v>0.959</v>
      </c>
      <c r="F56"/>
    </row>
    <row r="57" spans="2:6" ht="15" hidden="1">
      <c r="B57" s="103" t="s">
        <v>194</v>
      </c>
      <c r="C57" s="105" t="s">
        <v>147</v>
      </c>
      <c r="D57" s="104">
        <v>0.963</v>
      </c>
      <c r="F57"/>
    </row>
    <row r="58" spans="2:6" ht="15" hidden="1">
      <c r="B58" s="103" t="s">
        <v>195</v>
      </c>
      <c r="C58" s="105" t="s">
        <v>138</v>
      </c>
      <c r="D58" s="104">
        <v>1.001</v>
      </c>
      <c r="F58"/>
    </row>
    <row r="59" spans="2:6" ht="15" hidden="1">
      <c r="B59" s="103" t="s">
        <v>196</v>
      </c>
      <c r="C59" s="103" t="s">
        <v>142</v>
      </c>
      <c r="D59" s="104">
        <v>0.947</v>
      </c>
      <c r="F59"/>
    </row>
    <row r="60" spans="2:6" ht="15" hidden="1">
      <c r="B60" s="103" t="s">
        <v>197</v>
      </c>
      <c r="C60" s="105" t="s">
        <v>151</v>
      </c>
      <c r="D60" s="104">
        <v>0.959</v>
      </c>
      <c r="F60"/>
    </row>
    <row r="61" spans="2:6" ht="15" hidden="1">
      <c r="B61" s="103" t="s">
        <v>198</v>
      </c>
      <c r="C61" s="105" t="s">
        <v>147</v>
      </c>
      <c r="D61" s="104">
        <v>0.963</v>
      </c>
      <c r="F61"/>
    </row>
    <row r="62" spans="2:6" ht="15" hidden="1">
      <c r="B62" s="103" t="s">
        <v>199</v>
      </c>
      <c r="C62" s="105" t="s">
        <v>149</v>
      </c>
      <c r="D62" s="104">
        <v>1.063</v>
      </c>
      <c r="F62"/>
    </row>
    <row r="63" spans="2:6" ht="15" hidden="1">
      <c r="B63" s="103" t="s">
        <v>200</v>
      </c>
      <c r="C63" s="105" t="s">
        <v>147</v>
      </c>
      <c r="D63" s="104">
        <v>0.963</v>
      </c>
      <c r="F63"/>
    </row>
    <row r="64" spans="2:6" ht="15" hidden="1">
      <c r="B64" s="103" t="s">
        <v>201</v>
      </c>
      <c r="C64" s="103" t="s">
        <v>142</v>
      </c>
      <c r="D64" s="104">
        <v>0.947</v>
      </c>
      <c r="F64"/>
    </row>
    <row r="65" spans="2:6" ht="15" hidden="1">
      <c r="B65" s="103" t="s">
        <v>202</v>
      </c>
      <c r="C65" s="105" t="s">
        <v>166</v>
      </c>
      <c r="D65" s="104">
        <v>0.988</v>
      </c>
      <c r="F65"/>
    </row>
    <row r="66" spans="2:6" ht="15" hidden="1">
      <c r="B66" s="103" t="s">
        <v>203</v>
      </c>
      <c r="C66" s="103" t="s">
        <v>142</v>
      </c>
      <c r="D66" s="104">
        <v>0.947</v>
      </c>
      <c r="F66"/>
    </row>
    <row r="67" spans="2:6" ht="15" hidden="1">
      <c r="B67" s="103" t="s">
        <v>204</v>
      </c>
      <c r="C67" s="103" t="s">
        <v>142</v>
      </c>
      <c r="D67" s="104">
        <v>0.947</v>
      </c>
      <c r="F67"/>
    </row>
    <row r="68" spans="2:6" ht="15" hidden="1">
      <c r="B68" s="103" t="s">
        <v>205</v>
      </c>
      <c r="C68" s="105" t="s">
        <v>138</v>
      </c>
      <c r="D68" s="104">
        <v>1.001</v>
      </c>
      <c r="F68"/>
    </row>
    <row r="69" spans="2:6" ht="15" hidden="1">
      <c r="B69" s="103" t="s">
        <v>206</v>
      </c>
      <c r="C69" s="105" t="s">
        <v>147</v>
      </c>
      <c r="D69" s="104">
        <v>0.963</v>
      </c>
      <c r="F69"/>
    </row>
    <row r="70" spans="2:6" ht="15" hidden="1">
      <c r="B70" s="103" t="s">
        <v>207</v>
      </c>
      <c r="C70" s="105" t="s">
        <v>208</v>
      </c>
      <c r="D70" s="104">
        <v>0.963</v>
      </c>
      <c r="F70"/>
    </row>
    <row r="71" spans="2:6" ht="15" hidden="1">
      <c r="B71" s="103" t="s">
        <v>209</v>
      </c>
      <c r="C71" s="103" t="s">
        <v>142</v>
      </c>
      <c r="D71" s="104">
        <v>0.947</v>
      </c>
      <c r="F71"/>
    </row>
    <row r="72" spans="2:6" ht="15" hidden="1">
      <c r="B72" s="103" t="s">
        <v>210</v>
      </c>
      <c r="C72" s="103" t="s">
        <v>140</v>
      </c>
      <c r="D72" s="104">
        <v>1.023</v>
      </c>
      <c r="F72"/>
    </row>
    <row r="73" spans="2:6" ht="15" hidden="1">
      <c r="B73" s="103" t="s">
        <v>211</v>
      </c>
      <c r="C73" s="103" t="s">
        <v>142</v>
      </c>
      <c r="D73" s="104">
        <v>0.947</v>
      </c>
      <c r="F73"/>
    </row>
    <row r="74" spans="2:6" ht="15" hidden="1">
      <c r="B74" s="103" t="s">
        <v>212</v>
      </c>
      <c r="C74" s="105" t="s">
        <v>147</v>
      </c>
      <c r="D74" s="104">
        <v>0.963</v>
      </c>
      <c r="F74"/>
    </row>
    <row r="75" spans="2:6" ht="15" hidden="1">
      <c r="B75" s="103" t="s">
        <v>213</v>
      </c>
      <c r="C75" s="105" t="s">
        <v>147</v>
      </c>
      <c r="D75" s="104">
        <v>0.963</v>
      </c>
      <c r="F75"/>
    </row>
    <row r="76" spans="2:6" ht="15" hidden="1">
      <c r="B76" s="103" t="s">
        <v>214</v>
      </c>
      <c r="C76" s="105" t="s">
        <v>151</v>
      </c>
      <c r="D76" s="104">
        <v>0.959</v>
      </c>
      <c r="F76"/>
    </row>
    <row r="77" spans="2:6" ht="15" hidden="1">
      <c r="B77" s="103" t="s">
        <v>215</v>
      </c>
      <c r="C77" s="105" t="s">
        <v>147</v>
      </c>
      <c r="D77" s="104">
        <v>0.963</v>
      </c>
      <c r="F77"/>
    </row>
    <row r="78" spans="2:6" ht="15" hidden="1">
      <c r="B78" s="103" t="s">
        <v>216</v>
      </c>
      <c r="C78" s="103" t="s">
        <v>142</v>
      </c>
      <c r="D78" s="104">
        <v>0.947</v>
      </c>
      <c r="F78"/>
    </row>
    <row r="79" spans="2:6" ht="15" hidden="1">
      <c r="B79" s="103" t="s">
        <v>220</v>
      </c>
      <c r="C79" s="105" t="s">
        <v>153</v>
      </c>
      <c r="D79" s="104">
        <v>0.966</v>
      </c>
      <c r="F79"/>
    </row>
    <row r="80" spans="2:6" ht="15" hidden="1">
      <c r="B80" s="103" t="s">
        <v>217</v>
      </c>
      <c r="C80" s="103" t="s">
        <v>140</v>
      </c>
      <c r="D80" s="104">
        <v>1.023</v>
      </c>
      <c r="F80"/>
    </row>
    <row r="81" spans="2:6" ht="15" hidden="1">
      <c r="B81" s="103" t="s">
        <v>218</v>
      </c>
      <c r="C81" s="105" t="s">
        <v>140</v>
      </c>
      <c r="D81" s="104">
        <v>1.023</v>
      </c>
      <c r="F81"/>
    </row>
    <row r="82" spans="2:6" ht="15" hidden="1">
      <c r="B82" s="103" t="s">
        <v>219</v>
      </c>
      <c r="C82" s="105" t="s">
        <v>151</v>
      </c>
      <c r="D82" s="104">
        <v>0.959</v>
      </c>
      <c r="F82"/>
    </row>
    <row r="83" spans="2:6" ht="15" hidden="1">
      <c r="B83" s="103" t="s">
        <v>221</v>
      </c>
      <c r="C83" s="105" t="s">
        <v>145</v>
      </c>
      <c r="D83" s="104">
        <v>0.961</v>
      </c>
      <c r="F83"/>
    </row>
    <row r="84" spans="2:6" ht="15" hidden="1">
      <c r="B84" s="103" t="s">
        <v>222</v>
      </c>
      <c r="C84" s="105" t="s">
        <v>151</v>
      </c>
      <c r="D84" s="104">
        <v>0.959</v>
      </c>
      <c r="F84"/>
    </row>
    <row r="85" spans="2:6" ht="15" hidden="1">
      <c r="B85" s="103" t="s">
        <v>223</v>
      </c>
      <c r="C85" s="103" t="s">
        <v>142</v>
      </c>
      <c r="D85" s="104">
        <v>0.947</v>
      </c>
      <c r="F85"/>
    </row>
    <row r="86" spans="2:6" ht="15" hidden="1">
      <c r="B86" s="103" t="s">
        <v>224</v>
      </c>
      <c r="C86" s="105" t="s">
        <v>147</v>
      </c>
      <c r="D86" s="104">
        <v>0.963</v>
      </c>
      <c r="F86"/>
    </row>
    <row r="87" spans="2:6" ht="15" hidden="1">
      <c r="B87" s="103" t="s">
        <v>225</v>
      </c>
      <c r="C87" s="103" t="s">
        <v>142</v>
      </c>
      <c r="D87" s="104">
        <v>0.947</v>
      </c>
      <c r="F87"/>
    </row>
    <row r="88" spans="2:6" ht="15" hidden="1">
      <c r="B88" s="103" t="s">
        <v>226</v>
      </c>
      <c r="C88" s="103" t="s">
        <v>142</v>
      </c>
      <c r="D88" s="104">
        <v>0.947</v>
      </c>
      <c r="F88"/>
    </row>
    <row r="89" spans="2:6" ht="15" hidden="1">
      <c r="B89" s="103" t="s">
        <v>227</v>
      </c>
      <c r="C89" s="105" t="s">
        <v>166</v>
      </c>
      <c r="D89" s="104">
        <v>0.988</v>
      </c>
      <c r="F89"/>
    </row>
    <row r="90" spans="2:6" ht="15" hidden="1">
      <c r="B90" s="103" t="s">
        <v>228</v>
      </c>
      <c r="C90" s="103" t="s">
        <v>142</v>
      </c>
      <c r="D90" s="104">
        <v>0.947</v>
      </c>
      <c r="F90"/>
    </row>
    <row r="91" spans="2:6" ht="15" hidden="1">
      <c r="B91" s="103" t="s">
        <v>229</v>
      </c>
      <c r="C91" s="105" t="s">
        <v>151</v>
      </c>
      <c r="D91" s="104">
        <v>0.959</v>
      </c>
      <c r="F91"/>
    </row>
    <row r="92" spans="2:6" ht="15" hidden="1">
      <c r="B92" s="103" t="s">
        <v>230</v>
      </c>
      <c r="C92" s="103" t="s">
        <v>140</v>
      </c>
      <c r="D92" s="104">
        <v>1.023</v>
      </c>
      <c r="F92"/>
    </row>
    <row r="93" spans="2:6" ht="15" hidden="1">
      <c r="B93" s="103" t="s">
        <v>231</v>
      </c>
      <c r="C93" s="105" t="s">
        <v>151</v>
      </c>
      <c r="D93" s="104">
        <v>0.959</v>
      </c>
      <c r="F93"/>
    </row>
    <row r="94" spans="2:6" ht="15" hidden="1">
      <c r="B94" s="103" t="s">
        <v>232</v>
      </c>
      <c r="C94" s="103" t="s">
        <v>142</v>
      </c>
      <c r="D94" s="104">
        <v>0.947</v>
      </c>
      <c r="F94"/>
    </row>
    <row r="95" spans="2:6" ht="15" hidden="1">
      <c r="B95" s="103" t="s">
        <v>233</v>
      </c>
      <c r="C95" s="105" t="s">
        <v>151</v>
      </c>
      <c r="D95" s="104">
        <v>0.959</v>
      </c>
      <c r="F95"/>
    </row>
    <row r="96" spans="2:6" ht="15" hidden="1">
      <c r="B96" s="103" t="s">
        <v>234</v>
      </c>
      <c r="C96" s="105" t="s">
        <v>140</v>
      </c>
      <c r="D96" s="104">
        <v>1.023</v>
      </c>
      <c r="F96"/>
    </row>
    <row r="97" spans="2:6" ht="15" hidden="1">
      <c r="B97" s="103" t="s">
        <v>235</v>
      </c>
      <c r="C97" s="105" t="s">
        <v>147</v>
      </c>
      <c r="D97" s="104">
        <v>0.963</v>
      </c>
      <c r="F97"/>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48"/>
  <sheetViews>
    <sheetView zoomScale="125" zoomScaleNormal="125" zoomScalePageLayoutView="0" workbookViewId="0" topLeftCell="A1">
      <selection activeCell="H6" sqref="H6"/>
    </sheetView>
  </sheetViews>
  <sheetFormatPr defaultColWidth="9.140625" defaultRowHeight="12.75"/>
  <cols>
    <col min="1" max="1" width="37.8515625" style="31" customWidth="1"/>
    <col min="2" max="2" width="20.7109375" style="31" bestFit="1" customWidth="1"/>
    <col min="3" max="3" width="14.140625" style="31" customWidth="1"/>
    <col min="4" max="4" width="16.00390625" style="31" customWidth="1"/>
    <col min="5" max="5" width="14.140625" style="118" customWidth="1"/>
    <col min="6" max="6" width="11.28125" style="31" bestFit="1" customWidth="1"/>
    <col min="7" max="16384" width="9.140625" style="31" customWidth="1"/>
  </cols>
  <sheetData>
    <row r="1" spans="1:6" ht="15">
      <c r="A1" s="30" t="s">
        <v>89</v>
      </c>
      <c r="C1" s="29"/>
      <c r="D1" s="29"/>
      <c r="E1" s="117"/>
      <c r="F1" s="29"/>
    </row>
    <row r="2" spans="1:6" ht="12.75">
      <c r="A2" s="32"/>
      <c r="B2" s="32"/>
      <c r="C2" s="32"/>
      <c r="D2" s="32"/>
      <c r="E2" s="117"/>
      <c r="F2" s="29"/>
    </row>
    <row r="3" spans="1:6" ht="12.75">
      <c r="A3" s="33" t="s">
        <v>11</v>
      </c>
      <c r="B3" s="29"/>
      <c r="C3" s="29"/>
      <c r="D3" s="5" t="s">
        <v>79</v>
      </c>
      <c r="E3" s="117"/>
      <c r="F3" s="29"/>
    </row>
    <row r="4" spans="1:6" ht="12.75">
      <c r="A4" s="60" t="s">
        <v>100</v>
      </c>
      <c r="B4" s="35">
        <f>'Direct Staffing'!C30</f>
        <v>16.575339829999997</v>
      </c>
      <c r="D4" s="36">
        <f>B4</f>
        <v>16.575339829999997</v>
      </c>
      <c r="E4" s="117"/>
      <c r="F4" s="29"/>
    </row>
    <row r="5" spans="1:6" ht="12.75">
      <c r="A5" s="32"/>
      <c r="B5" s="32"/>
      <c r="C5" s="32"/>
      <c r="D5" s="32"/>
      <c r="E5" s="117"/>
      <c r="F5" s="29"/>
    </row>
    <row r="6" spans="1:6" ht="12.75">
      <c r="A6" s="33" t="s">
        <v>32</v>
      </c>
      <c r="B6" s="29"/>
      <c r="C6" s="29"/>
      <c r="D6" s="29"/>
      <c r="E6" s="117"/>
      <c r="F6" s="29"/>
    </row>
    <row r="7" spans="1:6" ht="12.75">
      <c r="A7" s="34" t="s">
        <v>65</v>
      </c>
      <c r="B7" s="45">
        <f>'Program Plan Support'!C9</f>
        <v>0.056</v>
      </c>
      <c r="D7" s="36">
        <f>B7*D4</f>
        <v>0.9282190304799999</v>
      </c>
      <c r="E7" s="117"/>
      <c r="F7" s="29"/>
    </row>
    <row r="8" spans="1:6" ht="12.75">
      <c r="A8" s="32"/>
      <c r="B8" s="32"/>
      <c r="C8" s="32"/>
      <c r="D8" s="32"/>
      <c r="E8" s="117"/>
      <c r="F8" s="29"/>
    </row>
    <row r="9" spans="1:6" ht="12.75">
      <c r="A9" s="33" t="s">
        <v>1</v>
      </c>
      <c r="B9" s="29"/>
      <c r="C9" s="29"/>
      <c r="D9" s="29"/>
      <c r="E9" s="117"/>
      <c r="F9" s="29"/>
    </row>
    <row r="10" spans="1:6" ht="12.75">
      <c r="A10" s="34" t="s">
        <v>9</v>
      </c>
      <c r="B10" s="46">
        <f>'Emp. Related Exp.'!C19</f>
        <v>0.236</v>
      </c>
      <c r="C10" s="36"/>
      <c r="D10" s="36">
        <f>B10*(D4+D7)</f>
        <v>4.130839891073279</v>
      </c>
      <c r="E10" s="117"/>
      <c r="F10" s="29"/>
    </row>
    <row r="11" spans="1:6" ht="16.5" customHeight="1">
      <c r="A11" s="32"/>
      <c r="B11" s="32"/>
      <c r="C11" s="32"/>
      <c r="D11" s="32"/>
      <c r="E11" s="117"/>
      <c r="F11" s="29"/>
    </row>
    <row r="12" spans="1:6" ht="12.75">
      <c r="A12" s="33" t="s">
        <v>35</v>
      </c>
      <c r="B12" s="29"/>
      <c r="C12" s="29"/>
      <c r="D12" s="29"/>
      <c r="E12" s="117"/>
      <c r="F12" s="29"/>
    </row>
    <row r="13" spans="1:6" ht="12.75">
      <c r="A13" s="37" t="s">
        <v>36</v>
      </c>
      <c r="B13" s="47">
        <f>'Client Programming &amp; Supports'!C9</f>
        <v>0.1</v>
      </c>
      <c r="D13" s="38">
        <f>(D4+D7+D10)*B13</f>
        <v>2.1634398751553277</v>
      </c>
      <c r="E13" s="117"/>
      <c r="F13" s="29"/>
    </row>
    <row r="14" spans="1:6" ht="12.75">
      <c r="A14" s="32"/>
      <c r="B14" s="32"/>
      <c r="C14" s="32"/>
      <c r="D14" s="32"/>
      <c r="E14" s="117"/>
      <c r="F14" s="29"/>
    </row>
    <row r="15" spans="1:6" ht="12.75">
      <c r="A15" s="33" t="s">
        <v>48</v>
      </c>
      <c r="B15" s="29"/>
      <c r="C15" s="29"/>
      <c r="D15" s="29"/>
      <c r="E15" s="117"/>
      <c r="F15" s="29"/>
    </row>
    <row r="16" spans="1:6" ht="12.75">
      <c r="A16" s="37" t="s">
        <v>66</v>
      </c>
      <c r="B16" s="39">
        <f>'Program Facility'!C5</f>
        <v>1.2866666666666666</v>
      </c>
      <c r="D16" s="38">
        <f>B16</f>
        <v>1.2866666666666666</v>
      </c>
      <c r="E16" s="117"/>
      <c r="F16" s="29"/>
    </row>
    <row r="17" spans="1:6" ht="12.75">
      <c r="A17" s="32"/>
      <c r="B17" s="32"/>
      <c r="C17" s="32"/>
      <c r="D17" s="32"/>
      <c r="E17" s="117"/>
      <c r="F17" s="29"/>
    </row>
    <row r="18" spans="1:6" ht="12.75">
      <c r="A18" s="33" t="s">
        <v>13</v>
      </c>
      <c r="B18" s="29"/>
      <c r="C18" s="29"/>
      <c r="D18" s="29"/>
      <c r="E18" s="117"/>
      <c r="F18" s="29"/>
    </row>
    <row r="19" spans="1:6" ht="12.75">
      <c r="A19" s="34" t="s">
        <v>12</v>
      </c>
      <c r="B19" s="48">
        <f>'Program Related Expenses'!E8</f>
        <v>0.1895</v>
      </c>
      <c r="C19" s="36"/>
      <c r="D19" s="36">
        <f>E19-(D4+D7+D10+D13+D16)</f>
        <v>5.864915179635549</v>
      </c>
      <c r="E19" s="117">
        <f>(D4+D7+D10+D13+D16)/(1-B19)</f>
        <v>30.949420473010818</v>
      </c>
      <c r="F19" s="29"/>
    </row>
    <row r="20" spans="1:6" ht="12.75">
      <c r="A20" s="106"/>
      <c r="B20" s="107"/>
      <c r="C20" s="36"/>
      <c r="D20" s="36"/>
      <c r="E20" s="117"/>
      <c r="F20" s="29"/>
    </row>
    <row r="21" spans="1:7" ht="12.75">
      <c r="A21" s="33" t="s">
        <v>236</v>
      </c>
      <c r="B21" s="108"/>
      <c r="C21" s="109"/>
      <c r="D21" s="109"/>
      <c r="E21" s="117"/>
      <c r="F21" s="110"/>
      <c r="G21" s="111"/>
    </row>
    <row r="22" spans="1:7" ht="12.75">
      <c r="A22" s="56" t="s">
        <v>237</v>
      </c>
      <c r="B22" s="112" t="str">
        <f>'Regional Variance Factor'!B7</f>
        <v>-</v>
      </c>
      <c r="C22" s="111"/>
      <c r="D22" s="113" t="str">
        <f>IF((B22&lt;&gt;"-"),((E19*B22)-E19),"Select County")</f>
        <v>Select County</v>
      </c>
      <c r="E22" s="117"/>
      <c r="F22" s="110"/>
      <c r="G22" s="114"/>
    </row>
    <row r="23" spans="1:6" ht="12.75">
      <c r="A23" s="32"/>
      <c r="B23" s="32"/>
      <c r="C23" s="32"/>
      <c r="D23" s="32"/>
      <c r="E23" s="117"/>
      <c r="F23" s="29"/>
    </row>
    <row r="24" spans="1:6" ht="12.75">
      <c r="A24" s="40" t="s">
        <v>238</v>
      </c>
      <c r="B24" s="35" t="str">
        <f>D24</f>
        <v>Select County</v>
      </c>
      <c r="D24" s="38" t="str">
        <f>IF((B22&lt;&gt;"-"),E19+D22,"Select County")</f>
        <v>Select County</v>
      </c>
      <c r="E24" s="117"/>
      <c r="F24" s="29"/>
    </row>
    <row r="25" spans="1:6" ht="12.75">
      <c r="A25" s="32"/>
      <c r="B25" s="32"/>
      <c r="C25" s="32"/>
      <c r="D25" s="32"/>
      <c r="E25" s="117"/>
      <c r="F25" s="29"/>
    </row>
    <row r="26" spans="1:2" ht="12.75">
      <c r="A26" s="33" t="s">
        <v>86</v>
      </c>
      <c r="B26" s="121">
        <v>1</v>
      </c>
    </row>
    <row r="27" spans="1:2" ht="12.75">
      <c r="A27" s="56" t="s">
        <v>239</v>
      </c>
      <c r="B27" s="39" t="str">
        <f>IF((B22&lt;&gt;"-"),(100%-B26)*B24,"-")</f>
        <v>-</v>
      </c>
    </row>
    <row r="28" spans="1:2" ht="12.75">
      <c r="A28" s="115"/>
      <c r="B28" s="116"/>
    </row>
    <row r="29" ht="12.75">
      <c r="A29" s="33" t="s">
        <v>116</v>
      </c>
    </row>
    <row r="30" spans="1:2" ht="12.75">
      <c r="A30" s="56" t="s">
        <v>240</v>
      </c>
      <c r="B30" s="39" t="str">
        <f>IF((B22&lt;&gt;"-"),B24+B27,"-")</f>
        <v>-</v>
      </c>
    </row>
    <row r="32" spans="1:2" ht="12.75">
      <c r="A32" s="33" t="s">
        <v>114</v>
      </c>
      <c r="B32" s="108">
        <v>0.01</v>
      </c>
    </row>
    <row r="33" spans="1:2" ht="12.75">
      <c r="A33" s="56" t="s">
        <v>115</v>
      </c>
      <c r="B33" s="39" t="str">
        <f>IF((B22&lt;&gt;"-"),ROUND(B30*B32,2),"-")</f>
        <v>-</v>
      </c>
    </row>
    <row r="35" ht="12.75">
      <c r="A35" s="33" t="s">
        <v>118</v>
      </c>
    </row>
    <row r="36" spans="1:2" ht="12.75">
      <c r="A36" s="56" t="s">
        <v>241</v>
      </c>
      <c r="B36" s="39" t="str">
        <f>IF((B22&lt;&gt;"-"),B30+B33,"-")</f>
        <v>-</v>
      </c>
    </row>
    <row r="38" spans="1:2" ht="12.75">
      <c r="A38" s="33" t="s">
        <v>119</v>
      </c>
      <c r="B38" s="108">
        <v>0.05</v>
      </c>
    </row>
    <row r="39" spans="1:2" ht="12.75">
      <c r="A39" s="56" t="s">
        <v>115</v>
      </c>
      <c r="B39" s="39" t="str">
        <f>IF((B22&lt;&gt;"-"),(B36)*B38,"-")</f>
        <v>-</v>
      </c>
    </row>
    <row r="41" ht="12.75">
      <c r="A41" s="33" t="s">
        <v>120</v>
      </c>
    </row>
    <row r="42" spans="1:2" ht="12.75">
      <c r="A42" s="56" t="s">
        <v>241</v>
      </c>
      <c r="B42" s="39" t="str">
        <f>IF((B22&lt;&gt;"-"),B36+B39,"-")</f>
        <v>-</v>
      </c>
    </row>
    <row r="44" spans="1:2" ht="12.75">
      <c r="A44" s="33" t="s">
        <v>126</v>
      </c>
      <c r="B44" s="108">
        <v>0.01</v>
      </c>
    </row>
    <row r="45" spans="1:2" ht="12.75">
      <c r="A45" s="56" t="s">
        <v>115</v>
      </c>
      <c r="B45" s="39" t="str">
        <f>IF((B22&lt;&gt;"-"),(B42)*B44,"-")</f>
        <v>-</v>
      </c>
    </row>
    <row r="47" ht="12.75">
      <c r="A47" s="33" t="s">
        <v>127</v>
      </c>
    </row>
    <row r="48" spans="1:2" ht="12.75">
      <c r="A48" s="56" t="s">
        <v>241</v>
      </c>
      <c r="B48" s="39" t="str">
        <f>IF((B22&lt;&gt;"-"),B42+B45,"Select County")</f>
        <v>Select County</v>
      </c>
    </row>
  </sheetData>
  <sheetProtection password="D3F7" sheet="1"/>
  <dataValidations count="23">
    <dataValidation allowBlank="1" showInputMessage="1" showErrorMessage="1" prompt="Staffing Costs per Hour formula is equal Total Individual Staffing Amount from Direct Staffing sheet" sqref="B4"/>
    <dataValidation allowBlank="1" showInputMessage="1" showErrorMessage="1" prompt="Staffing per Hour Rate Calculation formula is equal to Staffing Cost per Hour" sqref="D4"/>
    <dataValidation allowBlank="1" showInputMessage="1" showErrorMessage="1" prompt="Program Support Standard formula is equal to Program Support Percentage from Program Plan Support sheet" sqref="B7"/>
    <dataValidation allowBlank="1" showInputMessage="1" showErrorMessage="1" prompt="Program Support Rate Calculation formula is Program Support Standard times Staffing per Hour Rate" sqref="D7"/>
    <dataValidation allowBlank="1" showInputMessage="1" showErrorMessage="1" prompt="Benefit Percentage formula is equal to Emplyee Related Expense Percentage from Emp. Related Exp. sheet" sqref="B10"/>
    <dataValidation allowBlank="1" showInputMessage="1" showErrorMessage="1" prompt="Employee Related Expense Rate Calculation formula is Benefit Percentage times the sum of (Staffing per Hour Rate plus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the sum of (Staffing per Hour Rate plus Program Support Rate plus Employee Related Expense Rate) times Client Programming and Supports Standard" sqref="D13"/>
    <dataValidation allowBlank="1" showInputMessage="1" showErrorMessage="1" prompt="Program Facility Cost formula is equal to Hourly Facility Cost from Program Facility sheet" sqref="B16"/>
    <dataValidation allowBlank="1" showInputMessage="1" showErrorMessage="1" prompt="Program Facility Rate formula is equal to Program Facility Cost" sqref="D16"/>
    <dataValidation allowBlank="1" showInputMessage="1" showErrorMessage="1" prompt="G&amp;A Standard formula is equal to Program Related Expenses from Program Related Expenses sheet" sqref="B19:B20"/>
    <dataValidation allowBlank="1" showInputMessage="1" showErrorMessage="1" prompt="G&amp;A Rate Rate Calculation formula is Total Hourly Rate minus the sum of (Staffing per Hour Rate plus Program Support Rate plus Employee Related Expense Rate plus Client Programming and Supports Rate plus Program Facility Rate)" sqref="D19:D20"/>
    <dataValidation allowBlank="1" showInputMessage="1" showErrorMessage="1" prompt="Hourly Rate formula is equal to Total Hourly Rate" sqref="B24"/>
    <dataValidation allowBlank="1" showInputMessage="1" showErrorMessage="1" prompt="Hourly Rate Calculation formula is equal to sum of(Staffing per Hour Rate plus Program Support Rate plus Employee Related Expense Rate plus Client Programming and Supports Rate plus Program Facility Rate) divided by(one minus G&amp;A Standard)" sqref="D24"/>
    <dataValidation allowBlank="1" showInputMessage="1" showErrorMessage="1" prompt="Budget Neutrality Rate" sqref="B21 B26"/>
    <dataValidation allowBlank="1" showInputMessage="1" showErrorMessage="1" prompt="Unit Regional Variance formula is Unit Rate multiplied by the appropriate Regional Variance Factor" sqref="B22"/>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21"/>
    <dataValidation allowBlank="1" showInputMessage="1" showErrorMessage="1" prompt="Cost of Living Adjustment formula is Original Total Rate multiplied by the COLA" sqref="B45"/>
    <dataValidation allowBlank="1" showInputMessage="1" showErrorMessage="1" prompt="4/1/2014 COLA" sqref="B32 B38 B44"/>
    <dataValidation allowBlank="1" showInputMessage="1" showErrorMessage="1" prompt="Original Total Daily Rate formula is the Daily Rate plus Budget Neutrality Factor" sqref="B30"/>
    <dataValidation allowBlank="1" showInputMessage="1" showErrorMessage="1" prompt="Post COLA Total Daily Rate formula is Daily Rate plus Cost of Living Adjustment" sqref="B36 B42 B48"/>
    <dataValidation allowBlank="1" showInputMessage="1" showErrorMessage="1" prompt="Daily Budget Neutrality formula is Daily Rate minus Daily Rate Base" sqref="B27:B28"/>
    <dataValidation allowBlank="1" showInputMessage="1" showErrorMessage="1" prompt="Cost of Living Adjustment formula is Original Total Rate multiplied by the COLA" sqref="B33 B39"/>
  </dataValidations>
  <printOptions/>
  <pageMargins left="0.75" right="0.75" top="1.37" bottom="1" header="0.5" footer="0.5"/>
  <pageSetup fitToHeight="1" fitToWidth="1" horizontalDpi="600" verticalDpi="600" orientation="portrait" scale="79" r:id="rId2"/>
  <headerFooter alignWithMargins="0">
    <oddHeader>&amp;C&amp;G</oddHeader>
    <oddFooter>&amp;LDWRS Draft framework for Adult Day Care Services - &amp;A&amp;R&amp;P</oddFooter>
  </headerFooter>
  <legacyDrawingHF r:id="rId1"/>
</worksheet>
</file>

<file path=xl/worksheets/sheet9.xml><?xml version="1.0" encoding="utf-8"?>
<worksheet xmlns="http://schemas.openxmlformats.org/spreadsheetml/2006/main" xmlns:r="http://schemas.openxmlformats.org/officeDocument/2006/relationships">
  <dimension ref="A5:C14"/>
  <sheetViews>
    <sheetView zoomScalePageLayoutView="0" workbookViewId="0" topLeftCell="A1">
      <selection activeCell="G17" sqref="G17"/>
    </sheetView>
  </sheetViews>
  <sheetFormatPr defaultColWidth="9.140625" defaultRowHeight="12.75"/>
  <cols>
    <col min="2" max="2" width="39.7109375" style="0" customWidth="1"/>
  </cols>
  <sheetData>
    <row r="5" spans="1:2" ht="12.75">
      <c r="A5" t="s">
        <v>113</v>
      </c>
      <c r="B5" t="s">
        <v>112</v>
      </c>
    </row>
    <row r="6" spans="1:3" ht="12.75">
      <c r="A6" s="96">
        <v>41610</v>
      </c>
      <c r="B6" t="s">
        <v>109</v>
      </c>
      <c r="C6" t="s">
        <v>123</v>
      </c>
    </row>
    <row r="7" spans="1:3" ht="12.75">
      <c r="A7" s="96">
        <v>41684</v>
      </c>
      <c r="B7" t="s">
        <v>110</v>
      </c>
      <c r="C7" t="s">
        <v>123</v>
      </c>
    </row>
    <row r="8" spans="1:3" ht="12.75">
      <c r="A8" s="96">
        <v>41709</v>
      </c>
      <c r="B8" t="s">
        <v>111</v>
      </c>
      <c r="C8" t="s">
        <v>124</v>
      </c>
    </row>
    <row r="9" spans="1:3" ht="12.75">
      <c r="A9" s="96">
        <v>41808</v>
      </c>
      <c r="B9" t="s">
        <v>117</v>
      </c>
      <c r="C9" t="s">
        <v>125</v>
      </c>
    </row>
    <row r="10" spans="1:3" ht="12.75">
      <c r="A10" s="96">
        <v>42164</v>
      </c>
      <c r="B10" s="97" t="s">
        <v>121</v>
      </c>
      <c r="C10" t="s">
        <v>122</v>
      </c>
    </row>
    <row r="11" spans="1:3" ht="12.75">
      <c r="A11" s="96">
        <v>42339</v>
      </c>
      <c r="B11" s="97" t="s">
        <v>242</v>
      </c>
      <c r="C11" t="s">
        <v>243</v>
      </c>
    </row>
    <row r="12" spans="1:3" ht="12.75">
      <c r="A12" s="119">
        <v>42522</v>
      </c>
      <c r="B12" s="120" t="s">
        <v>245</v>
      </c>
      <c r="C12" s="120" t="s">
        <v>244</v>
      </c>
    </row>
    <row r="13" spans="1:3" ht="12.75">
      <c r="A13" s="119">
        <v>42522</v>
      </c>
      <c r="B13" s="120" t="s">
        <v>246</v>
      </c>
      <c r="C13" s="120" t="s">
        <v>244</v>
      </c>
    </row>
    <row r="14" spans="1:3" ht="25.5">
      <c r="A14" s="122">
        <v>42522</v>
      </c>
      <c r="B14" s="123" t="s">
        <v>247</v>
      </c>
      <c r="C14" s="124" t="s">
        <v>244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Arvig, Aaron</cp:lastModifiedBy>
  <cp:lastPrinted>2010-07-26T14:38:27Z</cp:lastPrinted>
  <dcterms:created xsi:type="dcterms:W3CDTF">2009-10-20T14:58:44Z</dcterms:created>
  <dcterms:modified xsi:type="dcterms:W3CDTF">2016-06-23T13:24:57Z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17000.0000000000</vt:lpwstr>
  </property>
  <property fmtid="{D5CDD505-2E9C-101B-9397-08002B2CF9AE}" pid="7" name="Category-Req">
    <vt:lpwstr>MnCHOICES and RMS R16.2</vt:lpwstr>
  </property>
  <property fmtid="{D5CDD505-2E9C-101B-9397-08002B2CF9AE}" pid="8" name="Sub category-req:">
    <vt:lpwstr>Frameworks</vt:lpwstr>
  </property>
</Properties>
</file>