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Rate_Setting_Methodologies_Initiative\Frameworks\2026 JAN\Locked 2026\"/>
    </mc:Choice>
  </mc:AlternateContent>
  <xr:revisionPtr revIDLastSave="0" documentId="13_ncr:1_{1193E3F2-7E8A-4F40-964E-505EB13ABEDF}" xr6:coauthVersionLast="47" xr6:coauthVersionMax="47" xr10:uidLastSave="{00000000-0000-0000-0000-000000000000}"/>
  <bookViews>
    <workbookView xWindow="4050" yWindow="1455" windowWidth="23925" windowHeight="11295" tabRatio="871" xr2:uid="{00000000-000D-0000-FFFF-FFFF00000000}"/>
  </bookViews>
  <sheets>
    <sheet name="Direct Staffing" sheetId="10" r:id="rId1"/>
    <sheet name="Program Plan Support" sheetId="5" r:id="rId2"/>
    <sheet name="Emp. Related Exp." sheetId="3" r:id="rId3"/>
    <sheet name="Client Programming &amp; Supports" sheetId="11" r:id="rId4"/>
    <sheet name="Program Facility" sheetId="14" r:id="rId5"/>
    <sheet name="Program Related Expenses" sheetId="6" r:id="rId6"/>
    <sheet name="Regional Variance Factor" sheetId="16" r:id="rId7"/>
    <sheet name="Prevocational Rate Framework" sheetId="9" r:id="rId8"/>
    <sheet name="Version" sheetId="15" state="hidden" r:id="rId9"/>
  </sheets>
  <definedNames>
    <definedName name="Budget_Neutrality">'Prevocational Rate Framework'!$A$26:$B$27</definedName>
    <definedName name="columntitleregion1.b14.g20.1">'Direct Staffing'!$A$17:$F$19</definedName>
    <definedName name="Customization">'Direct Staffing'!$A$16:$F$19</definedName>
    <definedName name="DirectStaff">'Direct Staffing'!$A$8:$F$10</definedName>
    <definedName name="LPN_Hours">'Direct Staffing'!$A$21:$D$23</definedName>
    <definedName name="_xlnm.Print_Area" localSheetId="1">'Program Plan Support'!$A$1:$C$9</definedName>
    <definedName name="Relief_Staff">'Direct Staffing'!$A$29:$D$31</definedName>
    <definedName name="RN_Hours">'Direct Staffing'!$A$25:$D$27</definedName>
    <definedName name="Supervision">'Direct Staffing'!$A$12:$F$14</definedName>
    <definedName name="titleregion1.b5.g6.1">'Direct Staffing'!$A$9:$F$10</definedName>
    <definedName name="titleregion2.b9.g11.1">'Direct Staffing'!$A$13:$F$14</definedName>
    <definedName name="TotalStaffing">'Direct Staffing'!$A$33:$C$34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4" l="1"/>
  <c r="G5" i="14"/>
  <c r="H9" i="11"/>
  <c r="I16" i="10" l="1"/>
  <c r="I15" i="10"/>
  <c r="I14" i="10"/>
  <c r="I13" i="10"/>
  <c r="I12" i="10"/>
  <c r="I11" i="10"/>
  <c r="I10" i="10"/>
  <c r="I9" i="10"/>
  <c r="I8" i="10"/>
  <c r="I7" i="10"/>
  <c r="C6" i="10"/>
  <c r="C10" i="10" s="1"/>
  <c r="E10" i="10" s="1"/>
  <c r="F10" i="10" s="1"/>
  <c r="B7" i="16"/>
  <c r="B22" i="9" s="1"/>
  <c r="B5" i="16"/>
  <c r="D23" i="10"/>
  <c r="D27" i="10"/>
  <c r="E14" i="10"/>
  <c r="F14" i="10" s="1"/>
  <c r="D18" i="10"/>
  <c r="E18" i="10" s="1"/>
  <c r="F18" i="10" s="1"/>
  <c r="C9" i="11"/>
  <c r="B13" i="9" s="1"/>
  <c r="E8" i="6"/>
  <c r="B19" i="9" s="1"/>
  <c r="B7" i="9"/>
  <c r="C19" i="3"/>
  <c r="B10" i="9" s="1"/>
  <c r="A5" i="14"/>
  <c r="C5" i="14" s="1"/>
  <c r="B16" i="9" s="1"/>
  <c r="D16" i="9" s="1"/>
  <c r="B36" i="9" l="1"/>
  <c r="D22" i="9"/>
  <c r="B45" i="9"/>
  <c r="B39" i="9"/>
  <c r="B42" i="9"/>
  <c r="B33" i="9"/>
  <c r="B48" i="9"/>
  <c r="D24" i="9"/>
  <c r="B24" i="9" s="1"/>
  <c r="B30" i="9"/>
  <c r="B27" i="9"/>
  <c r="D31" i="10"/>
  <c r="C34" i="10" s="1"/>
  <c r="B4" i="9" s="1"/>
  <c r="D4" i="9" s="1"/>
  <c r="D7" i="9" l="1"/>
  <c r="D10" i="9" s="1"/>
  <c r="D13" i="9" l="1"/>
  <c r="E19" i="9" s="1"/>
  <c r="D19" i="9" s="1"/>
</calcChain>
</file>

<file path=xl/sharedStrings.xml><?xml version="1.0" encoding="utf-8"?>
<sst xmlns="http://schemas.openxmlformats.org/spreadsheetml/2006/main" count="393" uniqueCount="283">
  <si>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</si>
  <si>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</si>
  <si>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</si>
  <si>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</si>
  <si>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</si>
  <si>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</si>
  <si>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</si>
  <si>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</si>
  <si>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</si>
  <si>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</si>
  <si>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General and Administrative Support %</t>
  </si>
  <si>
    <t>Direct Staffing</t>
  </si>
  <si>
    <t>Total G&amp;A Standard</t>
  </si>
  <si>
    <t>G&amp;A</t>
  </si>
  <si>
    <t>Add-on $</t>
  </si>
  <si>
    <t>Add-on Choice</t>
  </si>
  <si>
    <t>Wage</t>
  </si>
  <si>
    <t>Dollar Amount</t>
  </si>
  <si>
    <t>Direct Care Staffing:</t>
  </si>
  <si>
    <t>Benefit Description</t>
  </si>
  <si>
    <t xml:space="preserve">Benefit % </t>
  </si>
  <si>
    <t>Step 1. Add in standard employment related expense percentage</t>
  </si>
  <si>
    <t>%</t>
  </si>
  <si>
    <t>Staffing Customization Options</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</si>
  <si>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</si>
  <si>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</si>
  <si>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</si>
  <si>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</si>
  <si>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</si>
  <si>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</si>
  <si>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</si>
  <si>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Program Support</t>
  </si>
  <si>
    <t>Documentation</t>
  </si>
  <si>
    <t>Direct staff preparation and service planning</t>
  </si>
  <si>
    <t>Client Programming and Supports</t>
  </si>
  <si>
    <t>Client Programming and Supports Standard</t>
  </si>
  <si>
    <t>Standard %</t>
  </si>
  <si>
    <t>Collateral contact related to direct service</t>
  </si>
  <si>
    <t xml:space="preserve">Program Plan Support </t>
  </si>
  <si>
    <t>Step 1. Determine components of program plan support</t>
  </si>
  <si>
    <t>Program plan support definition and components included in the program support percentage</t>
  </si>
  <si>
    <t>* percentage of direct staffing costs</t>
  </si>
  <si>
    <t>Employee Related Expense Description</t>
  </si>
  <si>
    <t>Step 1. Add in standard client programming and supports percentage</t>
  </si>
  <si>
    <t xml:space="preserve">         </t>
  </si>
  <si>
    <t xml:space="preserve">                                                                                                  </t>
  </si>
  <si>
    <t>Program Facility</t>
  </si>
  <si>
    <t xml:space="preserve">  </t>
  </si>
  <si>
    <t>Deaf or hard of hearing</t>
  </si>
  <si>
    <t>Total %</t>
  </si>
  <si>
    <t>Total Percentage</t>
  </si>
  <si>
    <t>Total Client Programming and Supports percentage</t>
  </si>
  <si>
    <t>Step 1: Calculate a flat rate/person based on staffing ratio</t>
  </si>
  <si>
    <t>Staffing Ratio</t>
  </si>
  <si>
    <t>1:1</t>
  </si>
  <si>
    <t>1:2</t>
  </si>
  <si>
    <t>1:3</t>
  </si>
  <si>
    <t>1:4</t>
  </si>
  <si>
    <t>1:8</t>
  </si>
  <si>
    <t>1:10</t>
  </si>
  <si>
    <t>Direct Staff</t>
  </si>
  <si>
    <t>Total % of program support</t>
  </si>
  <si>
    <t>Program Support standard</t>
  </si>
  <si>
    <t>Program Facility cost</t>
  </si>
  <si>
    <t>Standard G&amp;A</t>
  </si>
  <si>
    <t>Program G&amp;A</t>
  </si>
  <si>
    <t>Dental insurance</t>
  </si>
  <si>
    <t>Percentage of direct care to cover staffing benefits</t>
  </si>
  <si>
    <t>Step 2. Total Client Programming and Supports percentage</t>
  </si>
  <si>
    <t>Program Related Expenses</t>
  </si>
  <si>
    <t>Step 1. Add in standard general and administrative support percentage</t>
  </si>
  <si>
    <t>Utilization Factor</t>
  </si>
  <si>
    <t>Total Program Related Expenses percentage</t>
  </si>
  <si>
    <t>1:7</t>
  </si>
  <si>
    <t>1:9</t>
  </si>
  <si>
    <t>Rate Calculation:</t>
  </si>
  <si>
    <t>* Total Employee Related Expense Percentage</t>
  </si>
  <si>
    <t>Direct Staff Supervision</t>
  </si>
  <si>
    <t>No Customization</t>
  </si>
  <si>
    <t>Supervision Percent</t>
  </si>
  <si>
    <t>Budget Neutrality Factor</t>
  </si>
  <si>
    <t>Hours per Day</t>
  </si>
  <si>
    <t>Total cost per day</t>
  </si>
  <si>
    <t>Hours Per Day</t>
  </si>
  <si>
    <t>Total Cost per Day</t>
  </si>
  <si>
    <t>Staffing Customization Amount per Day</t>
  </si>
  <si>
    <t>Pro-rated cost of staff per Day</t>
  </si>
  <si>
    <t>Total cost per Day</t>
  </si>
  <si>
    <t>Total  Hours per Day</t>
  </si>
  <si>
    <t>Rate per person per Day</t>
  </si>
  <si>
    <t>Daily Facility Cost</t>
  </si>
  <si>
    <t>Total costs for staffing per day</t>
  </si>
  <si>
    <t>Daily Budget Neutrality</t>
  </si>
  <si>
    <t>RN</t>
  </si>
  <si>
    <t>Amount per Day</t>
  </si>
  <si>
    <t>LPN</t>
  </si>
  <si>
    <t>FRAMEWORK FOR PREVOCATIONAL SERVICES</t>
  </si>
  <si>
    <t>Direct service staff necessary to support and related to the provision of Prevocational Services when not engaged in direct contact with clients.</t>
  </si>
  <si>
    <t xml:space="preserve">Category to cover costs to provide participants access to the community or care in their program.  Examples include, but are not limited to:
- Participation costs for staff   
- Reinforcers as defined in the participant’s support plan 
- Transportation provided as part of Prevocational Services to provide in-program transportation for the participant to increase access to the community outside the Prevocational Services location                                                                 - State plan or other available waiver services must be accessed first, and those services must be billed separately.
</t>
  </si>
  <si>
    <t>Implementation version</t>
  </si>
  <si>
    <t>reorder RN/LPN input fields to match RMS</t>
  </si>
  <si>
    <t>Date</t>
  </si>
  <si>
    <t>Updates</t>
  </si>
  <si>
    <t>updated to reflect 4/1/2014 COLA increase of 1%</t>
  </si>
  <si>
    <t>4/1/2014 COLA</t>
  </si>
  <si>
    <t>Original Total Daily Rate</t>
  </si>
  <si>
    <t>Post COLA Total Daily Rate</t>
  </si>
  <si>
    <t>Cost of Living Adjustment</t>
  </si>
  <si>
    <t>updated to reflect 7/1/2014 COLA increase of 5%</t>
  </si>
  <si>
    <t>Post 4/1/14 COLA Total Rate</t>
  </si>
  <si>
    <t>7/1/2014 COLA</t>
  </si>
  <si>
    <t>Post 7/1/14 COLA Total Rate</t>
  </si>
  <si>
    <t>7/1/15 COLA increase of 1% added</t>
  </si>
  <si>
    <t>Version 4</t>
  </si>
  <si>
    <t>Version 1</t>
  </si>
  <si>
    <t>Version 2</t>
  </si>
  <si>
    <t>Version 3</t>
  </si>
  <si>
    <t>7/1/2015 COLA</t>
  </si>
  <si>
    <t>Post 7/1/15 COLA Total Rate</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</si>
  <si>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</si>
  <si>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</si>
  <si>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</si>
  <si>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</si>
  <si>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</si>
  <si>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</si>
  <si>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</si>
  <si>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</si>
  <si>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</si>
  <si>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</si>
  <si>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</si>
  <si>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</si>
  <si>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</si>
  <si>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</si>
  <si>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</si>
  <si>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</si>
  <si>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</si>
  <si>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</si>
  <si>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</si>
  <si>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</si>
  <si>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</si>
  <si>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</si>
  <si>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</si>
  <si>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</si>
  <si>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</si>
  <si>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</si>
  <si>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</si>
  <si>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</si>
  <si>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</si>
  <si>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</si>
  <si>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</si>
  <si>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</si>
  <si>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</si>
  <si>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</si>
  <si>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</si>
  <si>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</si>
  <si>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</si>
  <si>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</si>
  <si>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</si>
  <si>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</si>
  <si>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</si>
  <si>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</si>
  <si>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</si>
  <si>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</si>
  <si>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</si>
  <si>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</si>
  <si>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</si>
  <si>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</si>
  <si>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</si>
  <si>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</si>
  <si>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</si>
  <si>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</si>
  <si>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</si>
  <si>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</si>
  <si>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</si>
  <si>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</si>
  <si>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</si>
  <si>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</si>
  <si>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</si>
  <si>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</si>
  <si>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</si>
  <si>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</si>
  <si>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</si>
  <si>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</si>
  <si>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</si>
  <si>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 Leod</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</si>
  <si>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</si>
  <si>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</si>
  <si>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</si>
  <si>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</si>
  <si>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</si>
  <si>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</si>
  <si>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</si>
  <si>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</si>
  <si>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</si>
  <si>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</si>
  <si>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</si>
  <si>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</si>
  <si>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</si>
  <si>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</si>
  <si>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</si>
  <si>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</si>
  <si>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</si>
  <si>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</si>
  <si>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</si>
  <si>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</si>
  <si>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</si>
  <si>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</si>
  <si>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</si>
  <si>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</si>
  <si>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</si>
  <si>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</si>
  <si>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</si>
  <si>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</si>
  <si>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</si>
  <si>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</si>
  <si>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</si>
  <si>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</si>
  <si>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</si>
  <si>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</si>
  <si>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</si>
  <si>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</si>
  <si>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</si>
  <si>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</si>
  <si>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</si>
  <si>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</si>
  <si>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</si>
  <si>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</si>
  <si>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</si>
  <si>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</si>
  <si>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Daily Unit Rate</t>
  </si>
  <si>
    <t>updated component values and wages for 7/1/17 legislation</t>
  </si>
  <si>
    <t>Version 7</t>
  </si>
  <si>
    <t>Updated Regional Variance Factors</t>
  </si>
  <si>
    <t>Version 8</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</si>
  <si>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</si>
  <si>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</si>
  <si>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</si>
  <si>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</si>
  <si>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</si>
  <si>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</si>
  <si>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</si>
  <si>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</si>
  <si>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</si>
  <si>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</si>
  <si>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</si>
  <si>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Final Unit Rate</t>
  </si>
  <si>
    <t>Remove COLAs</t>
  </si>
  <si>
    <t>Version 9</t>
  </si>
  <si>
    <t>Limint RN and LPN Units to 6</t>
  </si>
  <si>
    <t>Version 10</t>
  </si>
  <si>
    <t>RN Wage increase, Absence/Utilization increase, and Supervisor Wage increase</t>
  </si>
  <si>
    <t>Version 11</t>
  </si>
  <si>
    <t>Hidden Budget Neutrality Factor</t>
  </si>
  <si>
    <t>Version 12</t>
  </si>
  <si>
    <t>Competitive Workforce Factor</t>
  </si>
  <si>
    <t>Step 1. Determine Wage for Direct Care Worker</t>
  </si>
  <si>
    <t>Base hourly wage</t>
  </si>
  <si>
    <t>Competitive Workforce Factor (CWF)</t>
  </si>
  <si>
    <t>Total wage per hour of service</t>
  </si>
  <si>
    <t>CWF Wage</t>
  </si>
  <si>
    <t xml:space="preserve">Step 2. Add wage for direct staff </t>
  </si>
  <si>
    <t>Step 3. Add hours for Supervision</t>
  </si>
  <si>
    <t>Step 4. Add staffing customization option to meet high level needs provided to an individual</t>
  </si>
  <si>
    <t>Step 5.  Add hours for LPN</t>
  </si>
  <si>
    <t>Step 6.  Add hours for RN</t>
  </si>
  <si>
    <t>Step 7.  Add % to cover vacation, sick and training for individual direct staff hours</t>
  </si>
  <si>
    <t>Step 8. Calculate daily individual staffing</t>
  </si>
  <si>
    <t>1:5</t>
  </si>
  <si>
    <t>1:6</t>
  </si>
  <si>
    <t>Version 13</t>
  </si>
  <si>
    <t>Version 14</t>
  </si>
  <si>
    <t>No change</t>
  </si>
  <si>
    <t>New value for direct care staff wage,
supervisor wage,
RN wage,
LPN wage,
client programming and support component,
program facility component</t>
  </si>
  <si>
    <t>Version 15</t>
  </si>
  <si>
    <t>Updated RVF</t>
  </si>
  <si>
    <t>Version 16</t>
  </si>
  <si>
    <t>Version 17</t>
  </si>
  <si>
    <t>Changes to tabs-direct staffing,client programming,program facility</t>
  </si>
  <si>
    <t>Version 18</t>
  </si>
  <si>
    <t>Version 19</t>
  </si>
  <si>
    <t>increase DC wage, sup wage, LPN wage, RN wage</t>
  </si>
  <si>
    <t>Version 20</t>
  </si>
  <si>
    <t>update DC wage, sup wage; increase client prog &amp; supp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</si>
</sst>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0.000"/>
  </numFmts>
  <fonts count="12"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b/>
      <sz val="11"/>
      <color rgb="FF000000"/>
      <name val="Calibri"/>
      <family val="2"/>
      <scheme val="minor"/>
    </font>
    <font>
      <sz val="11"/>
      <color rgb="FF000000"/>
      <name val="Calibri"/>
      <family val="2"/>
      <scheme val="minor"/>
    </font>
    <font>
      <sz val="10"/>
      <color theme="1"/>
      <name val="Arial"/>
      <family val="2"/>
    </font>
    <font>
      <sz val="10"/>
      <color theme="0"/>
      <name val="Arial"/>
      <family val="2"/>
    </font>
    <font>
      <sz val="8"/>
      <name val="Arial"/>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9"/>
      </patternFill>
    </fill>
    <fill>
      <patternFill patternType="solid">
        <fgColor theme="8"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85">
    <xf numFmtId="0" fontId="0" fillId="0" borderId="0" xfId="0"/>
    <xf numFmtId="0" fontId="0" fillId="2" borderId="0" xfId="0" applyFill="1"/>
    <xf numFmtId="0" fontId="0" fillId="2" borderId="0" xfId="0" applyFill="1" applyBorder="1"/>
    <xf numFmtId="44" fontId="1" fillId="3" borderId="1" xfId="2" applyFont="1" applyFill="1" applyBorder="1"/>
    <xf numFmtId="164" fontId="1" fillId="3" borderId="1" xfId="1" applyNumberFormat="1" applyFont="1" applyFill="1" applyBorder="1" applyAlignment="1">
      <alignment horizontal="center" wrapText="1"/>
    </xf>
    <xf numFmtId="0" fontId="3" fillId="2" borderId="0" xfId="0" applyFont="1" applyFill="1"/>
    <xf numFmtId="44" fontId="1" fillId="2" borderId="0" xfId="2" applyFont="1" applyFill="1" applyBorder="1" applyAlignment="1">
      <alignment horizontal="right" vertical="top"/>
    </xf>
    <xf numFmtId="164" fontId="1" fillId="2" borderId="0" xfId="1" applyNumberFormat="1" applyFont="1" applyFill="1" applyBorder="1" applyAlignment="1">
      <alignment horizontal="right" vertical="top"/>
    </xf>
    <xf numFmtId="0" fontId="3" fillId="2" borderId="0" xfId="0" applyFont="1" applyFill="1" applyBorder="1" applyAlignment="1">
      <alignment horizontal="left"/>
    </xf>
    <xf numFmtId="44" fontId="1" fillId="2" borderId="1" xfId="2" applyFont="1" applyFill="1" applyBorder="1"/>
    <xf numFmtId="0" fontId="0" fillId="2" borderId="2" xfId="0" applyFill="1" applyBorder="1"/>
    <xf numFmtId="0" fontId="0" fillId="2" borderId="3" xfId="0" applyFill="1" applyBorder="1"/>
    <xf numFmtId="0" fontId="0" fillId="2" borderId="4" xfId="0" applyFill="1" applyBorder="1"/>
    <xf numFmtId="44" fontId="1" fillId="3" borderId="1" xfId="2" applyFont="1" applyFill="1" applyBorder="1" applyAlignment="1">
      <alignment horizontal="center" wrapText="1"/>
    </xf>
    <xf numFmtId="0" fontId="0" fillId="2" borderId="5" xfId="0" applyFill="1" applyBorder="1"/>
    <xf numFmtId="44" fontId="1" fillId="0" borderId="1" xfId="2" applyFont="1" applyFill="1" applyBorder="1" applyAlignment="1">
      <alignment horizontal="right" vertical="top"/>
    </xf>
    <xf numFmtId="44" fontId="1" fillId="0" borderId="1" xfId="2" applyFont="1" applyFill="1" applyBorder="1"/>
    <xf numFmtId="0" fontId="5" fillId="2" borderId="6" xfId="0" applyFont="1" applyFill="1" applyBorder="1" applyAlignment="1">
      <alignment vertical="top" wrapText="1"/>
    </xf>
    <xf numFmtId="0" fontId="5" fillId="2" borderId="1" xfId="0" applyFont="1" applyFill="1" applyBorder="1" applyAlignment="1">
      <alignment vertical="top" wrapText="1"/>
    </xf>
    <xf numFmtId="0" fontId="0" fillId="2" borderId="7" xfId="0" applyFill="1" applyBorder="1"/>
    <xf numFmtId="164" fontId="0" fillId="3" borderId="1" xfId="1" applyNumberFormat="1" applyFont="1" applyFill="1" applyBorder="1"/>
    <xf numFmtId="9" fontId="3" fillId="3" borderId="1" xfId="0" applyNumberFormat="1" applyFont="1" applyFill="1" applyBorder="1" applyAlignment="1">
      <alignment horizontal="right"/>
    </xf>
    <xf numFmtId="0" fontId="4" fillId="2" borderId="0" xfId="0" applyFont="1" applyFill="1" applyAlignment="1">
      <alignment horizontal="left"/>
    </xf>
    <xf numFmtId="164" fontId="1" fillId="3" borderId="1" xfId="1" applyNumberFormat="1" applyFont="1" applyFill="1" applyBorder="1" applyAlignment="1">
      <alignment horizontal="center"/>
    </xf>
    <xf numFmtId="44" fontId="1" fillId="3" borderId="1" xfId="2" applyFont="1" applyFill="1" applyBorder="1" applyAlignment="1">
      <alignment horizontal="center"/>
    </xf>
    <xf numFmtId="0" fontId="0" fillId="3" borderId="8" xfId="0" applyFill="1" applyBorder="1" applyAlignment="1">
      <alignment wrapText="1"/>
    </xf>
    <xf numFmtId="20" fontId="0" fillId="2" borderId="1" xfId="0" quotePrefix="1" applyNumberFormat="1" applyFill="1" applyBorder="1" applyAlignment="1">
      <alignment horizontal="center"/>
    </xf>
    <xf numFmtId="44" fontId="0" fillId="2" borderId="1" xfId="2" quotePrefix="1" applyFont="1" applyFill="1" applyBorder="1"/>
    <xf numFmtId="0" fontId="6" fillId="2" borderId="0" xfId="0" applyFont="1" applyFill="1"/>
    <xf numFmtId="0" fontId="4" fillId="4" borderId="0" xfId="0" applyFont="1" applyFill="1"/>
    <xf numFmtId="0" fontId="0" fillId="4" borderId="0" xfId="0" applyFill="1"/>
    <xf numFmtId="0" fontId="6" fillId="4" borderId="0" xfId="0" applyFont="1" applyFill="1"/>
    <xf numFmtId="0" fontId="3" fillId="4" borderId="0" xfId="0" applyFont="1" applyFill="1"/>
    <xf numFmtId="0" fontId="5" fillId="4" borderId="6" xfId="0" applyFont="1" applyFill="1" applyBorder="1" applyAlignment="1"/>
    <xf numFmtId="44" fontId="5" fillId="4" borderId="1" xfId="2" applyFont="1" applyFill="1" applyBorder="1"/>
    <xf numFmtId="44" fontId="0" fillId="4" borderId="0" xfId="0" applyNumberFormat="1" applyFill="1"/>
    <xf numFmtId="0" fontId="0" fillId="4" borderId="1" xfId="0" applyFill="1" applyBorder="1"/>
    <xf numFmtId="44" fontId="0" fillId="4" borderId="0" xfId="2" applyFont="1" applyFill="1"/>
    <xf numFmtId="44" fontId="0" fillId="4" borderId="1" xfId="0" applyNumberFormat="1" applyFill="1" applyBorder="1"/>
    <xf numFmtId="0" fontId="3" fillId="4" borderId="1" xfId="0" applyFont="1" applyFill="1" applyBorder="1"/>
    <xf numFmtId="165" fontId="3" fillId="2" borderId="1" xfId="5" applyNumberFormat="1" applyFont="1" applyFill="1" applyBorder="1" applyAlignment="1">
      <alignment horizontal="left" indent="4"/>
    </xf>
    <xf numFmtId="10" fontId="3" fillId="2" borderId="1" xfId="0" applyNumberFormat="1" applyFont="1" applyFill="1" applyBorder="1"/>
    <xf numFmtId="10" fontId="0" fillId="2" borderId="1" xfId="5" applyNumberFormat="1" applyFont="1" applyFill="1" applyBorder="1"/>
    <xf numFmtId="165" fontId="5" fillId="4" borderId="1" xfId="2" applyNumberFormat="1" applyFont="1" applyFill="1" applyBorder="1" applyAlignment="1">
      <alignment vertical="top"/>
    </xf>
    <xf numFmtId="10" fontId="5" fillId="4" borderId="1" xfId="0" applyNumberFormat="1" applyFont="1" applyFill="1" applyBorder="1"/>
    <xf numFmtId="10" fontId="5" fillId="4" borderId="1" xfId="5" applyNumberFormat="1" applyFont="1" applyFill="1" applyBorder="1" applyAlignment="1">
      <alignment vertical="top"/>
    </xf>
    <xf numFmtId="0" fontId="1" fillId="2" borderId="9" xfId="0" quotePrefix="1" applyFont="1" applyFill="1" applyBorder="1" applyAlignment="1">
      <alignment horizontal="right"/>
    </xf>
    <xf numFmtId="0" fontId="1" fillId="2" borderId="10" xfId="0" quotePrefix="1" applyFont="1" applyFill="1" applyBorder="1" applyAlignment="1">
      <alignment horizontal="right"/>
    </xf>
    <xf numFmtId="0" fontId="1" fillId="3" borderId="6" xfId="0" applyFont="1" applyFill="1" applyBorder="1" applyAlignment="1"/>
    <xf numFmtId="0" fontId="1" fillId="2" borderId="6" xfId="0" applyFont="1" applyFill="1" applyBorder="1" applyAlignment="1"/>
    <xf numFmtId="0" fontId="1" fillId="0" borderId="1" xfId="1" applyNumberFormat="1" applyFont="1" applyFill="1" applyBorder="1" applyAlignment="1" applyProtection="1">
      <alignment horizontal="right" vertical="top"/>
    </xf>
    <xf numFmtId="0" fontId="1" fillId="5" borderId="1" xfId="0" applyFont="1" applyFill="1" applyBorder="1"/>
    <xf numFmtId="9" fontId="1" fillId="0" borderId="1" xfId="1" applyNumberFormat="1" applyFont="1" applyFill="1" applyBorder="1" applyAlignment="1" applyProtection="1">
      <alignment horizontal="right" vertical="top"/>
    </xf>
    <xf numFmtId="0" fontId="1" fillId="4" borderId="1" xfId="0" applyFont="1" applyFill="1" applyBorder="1"/>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1" fillId="3" borderId="11" xfId="0" applyFont="1" applyFill="1" applyBorder="1" applyAlignment="1">
      <alignment horizontal="right" wrapText="1"/>
    </xf>
    <xf numFmtId="0" fontId="1" fillId="4" borderId="6" xfId="0" applyFont="1" applyFill="1" applyBorder="1" applyAlignment="1"/>
    <xf numFmtId="0" fontId="1" fillId="2" borderId="12" xfId="0" quotePrefix="1" applyNumberFormat="1" applyFont="1" applyFill="1" applyBorder="1" applyAlignment="1">
      <alignment horizontal="right"/>
    </xf>
    <xf numFmtId="0" fontId="1" fillId="2" borderId="13" xfId="0" quotePrefix="1" applyNumberFormat="1" applyFont="1" applyFill="1" applyBorder="1" applyAlignment="1">
      <alignment horizontal="right"/>
    </xf>
    <xf numFmtId="0" fontId="1" fillId="2" borderId="0" xfId="0" applyFont="1" applyFill="1"/>
    <xf numFmtId="0" fontId="1" fillId="2" borderId="0" xfId="0" applyFont="1" applyFill="1" applyAlignment="1">
      <alignment horizontal="left" indent="1"/>
    </xf>
    <xf numFmtId="20" fontId="1" fillId="3" borderId="14" xfId="0" quotePrefix="1" applyNumberFormat="1" applyFont="1" applyFill="1" applyBorder="1" applyAlignment="1">
      <alignment horizontal="right"/>
    </xf>
    <xf numFmtId="0" fontId="1" fillId="3" borderId="15" xfId="0" quotePrefix="1" applyNumberFormat="1" applyFont="1" applyFill="1" applyBorder="1" applyAlignment="1">
      <alignment horizontal="right"/>
    </xf>
    <xf numFmtId="0" fontId="1" fillId="3" borderId="16" xfId="0" applyFont="1" applyFill="1" applyBorder="1" applyAlignment="1">
      <alignment horizontal="left" indent="1"/>
    </xf>
    <xf numFmtId="20" fontId="1" fillId="3" borderId="9" xfId="0" quotePrefix="1" applyNumberFormat="1" applyFont="1" applyFill="1" applyBorder="1" applyAlignment="1">
      <alignment horizontal="right"/>
    </xf>
    <xf numFmtId="0" fontId="1" fillId="3" borderId="12" xfId="0" quotePrefix="1" applyNumberFormat="1" applyFont="1" applyFill="1" applyBorder="1" applyAlignment="1">
      <alignment horizontal="right"/>
    </xf>
    <xf numFmtId="0" fontId="1" fillId="3" borderId="17" xfId="0" applyFont="1" applyFill="1" applyBorder="1" applyAlignment="1">
      <alignment horizontal="left" indent="1"/>
    </xf>
    <xf numFmtId="0" fontId="1" fillId="3" borderId="6" xfId="0" applyFont="1" applyFill="1" applyBorder="1" applyAlignment="1">
      <alignment horizontal="left"/>
    </xf>
    <xf numFmtId="0" fontId="1" fillId="3" borderId="1" xfId="0" applyFont="1" applyFill="1" applyBorder="1" applyAlignment="1">
      <alignment horizontal="left" wrapText="1"/>
    </xf>
    <xf numFmtId="20" fontId="1" fillId="3" borderId="18" xfId="0" quotePrefix="1" applyNumberFormat="1" applyFont="1" applyFill="1" applyBorder="1" applyAlignment="1">
      <alignment horizontal="right"/>
    </xf>
    <xf numFmtId="0" fontId="1" fillId="3" borderId="4" xfId="0" quotePrefix="1" applyNumberFormat="1" applyFont="1" applyFill="1" applyBorder="1" applyAlignment="1">
      <alignment horizontal="right"/>
    </xf>
    <xf numFmtId="0" fontId="1" fillId="3" borderId="19" xfId="0" applyFont="1" applyFill="1" applyBorder="1" applyAlignment="1">
      <alignment horizontal="left" indent="1"/>
    </xf>
    <xf numFmtId="0" fontId="1" fillId="2" borderId="6" xfId="0" applyFont="1" applyFill="1" applyBorder="1" applyAlignment="1">
      <alignment horizontal="left"/>
    </xf>
    <xf numFmtId="0" fontId="1" fillId="6" borderId="1" xfId="0" applyFont="1" applyFill="1" applyBorder="1" applyAlignment="1" applyProtection="1">
      <alignment horizontal="left"/>
      <protection locked="0"/>
    </xf>
    <xf numFmtId="20" fontId="1" fillId="2" borderId="9" xfId="0" quotePrefix="1" applyNumberFormat="1" applyFont="1" applyFill="1" applyBorder="1" applyAlignment="1">
      <alignment horizontal="right"/>
    </xf>
    <xf numFmtId="0" fontId="1" fillId="2" borderId="17" xfId="0" applyFont="1" applyFill="1" applyBorder="1" applyAlignment="1">
      <alignment horizontal="left" indent="1"/>
    </xf>
    <xf numFmtId="0" fontId="1" fillId="3" borderId="12" xfId="0" applyFont="1" applyFill="1" applyBorder="1" applyAlignment="1"/>
    <xf numFmtId="0" fontId="1" fillId="2" borderId="12" xfId="0" applyFont="1" applyFill="1" applyBorder="1" applyAlignment="1"/>
    <xf numFmtId="0" fontId="1" fillId="2" borderId="0" xfId="0" applyFont="1" applyFill="1" applyBorder="1" applyAlignment="1">
      <alignment horizontal="left"/>
    </xf>
    <xf numFmtId="0" fontId="1" fillId="2" borderId="20" xfId="0" applyFont="1" applyFill="1" applyBorder="1" applyAlignment="1">
      <alignment horizontal="left" indent="1"/>
    </xf>
    <xf numFmtId="44" fontId="1" fillId="5" borderId="1" xfId="2" applyFont="1" applyFill="1" applyBorder="1" applyAlignment="1">
      <alignment horizontal="right"/>
    </xf>
    <xf numFmtId="0" fontId="1" fillId="3" borderId="1" xfId="0" applyFont="1" applyFill="1" applyBorder="1"/>
    <xf numFmtId="10" fontId="1" fillId="2" borderId="6" xfId="5" applyNumberFormat="1" applyFont="1" applyFill="1" applyBorder="1" applyAlignment="1"/>
    <xf numFmtId="44" fontId="1" fillId="0" borderId="1" xfId="0" applyNumberFormat="1" applyFont="1" applyFill="1" applyBorder="1" applyAlignment="1"/>
    <xf numFmtId="44" fontId="1" fillId="2" borderId="0" xfId="2" applyFont="1" applyFill="1"/>
    <xf numFmtId="164" fontId="1" fillId="2" borderId="0" xfId="1" applyNumberFormat="1" applyFont="1" applyFill="1"/>
    <xf numFmtId="0" fontId="1" fillId="2" borderId="0" xfId="0" applyFont="1" applyFill="1" applyBorder="1"/>
    <xf numFmtId="0" fontId="1" fillId="7" borderId="1" xfId="0" applyFont="1" applyFill="1" applyBorder="1"/>
    <xf numFmtId="8" fontId="1" fillId="7" borderId="1" xfId="0" applyNumberFormat="1" applyFont="1" applyFill="1" applyBorder="1"/>
    <xf numFmtId="0" fontId="1" fillId="0" borderId="0" xfId="0" applyFont="1" applyFill="1" applyBorder="1" applyAlignment="1" applyProtection="1">
      <alignment horizontal="left"/>
    </xf>
    <xf numFmtId="0" fontId="3" fillId="2" borderId="0" xfId="0" applyFont="1" applyFill="1" applyAlignment="1">
      <alignment horizontal="left"/>
    </xf>
    <xf numFmtId="2" fontId="1" fillId="6" borderId="1" xfId="0" applyNumberFormat="1" applyFont="1" applyFill="1" applyBorder="1" applyAlignment="1" applyProtection="1">
      <alignment horizontal="right"/>
      <protection locked="0"/>
    </xf>
    <xf numFmtId="14" fontId="0" fillId="0" borderId="0" xfId="0" applyNumberFormat="1"/>
    <xf numFmtId="0" fontId="0" fillId="0" borderId="0" xfId="0" applyAlignment="1">
      <alignment wrapText="1"/>
    </xf>
    <xf numFmtId="0" fontId="0" fillId="0" borderId="0" xfId="0" applyAlignment="1">
      <alignment horizontal="left"/>
    </xf>
    <xf numFmtId="0" fontId="7" fillId="8" borderId="28" xfId="0" applyFont="1" applyFill="1" applyBorder="1" applyAlignment="1">
      <alignment vertical="center"/>
    </xf>
    <xf numFmtId="0" fontId="7" fillId="8" borderId="28" xfId="0" applyFont="1" applyFill="1" applyBorder="1" applyAlignment="1">
      <alignment horizontal="left" vertical="center"/>
    </xf>
    <xf numFmtId="0" fontId="8" fillId="5" borderId="28" xfId="0" applyFont="1" applyFill="1" applyBorder="1" applyAlignment="1">
      <alignment vertical="center"/>
    </xf>
    <xf numFmtId="0" fontId="8" fillId="5" borderId="28" xfId="0" quotePrefix="1" applyFont="1" applyFill="1" applyBorder="1" applyAlignment="1">
      <alignment horizontal="left" vertical="center"/>
    </xf>
    <xf numFmtId="0" fontId="8" fillId="0" borderId="28" xfId="0" applyFont="1" applyBorder="1" applyAlignment="1">
      <alignment vertical="center"/>
    </xf>
    <xf numFmtId="0" fontId="0" fillId="0" borderId="28" xfId="0" applyFont="1" applyBorder="1" applyAlignment="1">
      <alignment vertical="top"/>
    </xf>
    <xf numFmtId="165" fontId="1" fillId="0" borderId="0" xfId="5" applyNumberFormat="1" applyFont="1" applyFill="1" applyProtection="1"/>
    <xf numFmtId="44" fontId="9" fillId="4" borderId="0" xfId="0" applyNumberFormat="1" applyFont="1" applyFill="1"/>
    <xf numFmtId="10" fontId="1" fillId="9" borderId="1" xfId="5" applyNumberFormat="1" applyFont="1" applyFill="1" applyBorder="1"/>
    <xf numFmtId="0" fontId="9" fillId="4" borderId="0" xfId="0" applyFont="1" applyFill="1"/>
    <xf numFmtId="44" fontId="9" fillId="9" borderId="0" xfId="2" applyFont="1" applyFill="1"/>
    <xf numFmtId="0" fontId="5" fillId="4" borderId="0" xfId="0" applyFont="1" applyFill="1" applyBorder="1" applyAlignment="1"/>
    <xf numFmtId="10" fontId="5" fillId="4" borderId="0" xfId="5" applyNumberFormat="1" applyFont="1" applyFill="1" applyBorder="1" applyAlignment="1">
      <alignment vertical="top"/>
    </xf>
    <xf numFmtId="0" fontId="10" fillId="2" borderId="0" xfId="0" applyFont="1" applyFill="1"/>
    <xf numFmtId="0" fontId="10" fillId="4" borderId="0" xfId="0" applyFont="1" applyFill="1"/>
    <xf numFmtId="44" fontId="1" fillId="6" borderId="5" xfId="2" applyFont="1" applyFill="1" applyBorder="1" applyAlignment="1" applyProtection="1">
      <alignment vertical="top"/>
      <protection locked="0"/>
    </xf>
    <xf numFmtId="44" fontId="1" fillId="6" borderId="21" xfId="2" applyFont="1" applyFill="1" applyBorder="1" applyAlignment="1" applyProtection="1">
      <alignment vertical="top"/>
    </xf>
    <xf numFmtId="0" fontId="1" fillId="0" borderId="0" xfId="0" applyFont="1" applyAlignment="1">
      <alignment wrapText="1"/>
    </xf>
    <xf numFmtId="0" fontId="1" fillId="0" borderId="0" xfId="0" applyFont="1"/>
    <xf numFmtId="0" fontId="8" fillId="0" borderId="29" xfId="0" applyFont="1" applyBorder="1" applyAlignment="1">
      <alignment vertical="center"/>
    </xf>
    <xf numFmtId="0" fontId="0" fillId="0" borderId="29" xfId="0" applyFont="1" applyBorder="1" applyAlignment="1">
      <alignment vertical="top"/>
    </xf>
    <xf numFmtId="0" fontId="0" fillId="5" borderId="1" xfId="0" applyFill="1" applyBorder="1"/>
    <xf numFmtId="0" fontId="3" fillId="4" borderId="0" xfId="0" applyFont="1" applyFill="1" applyProtection="1">
      <protection hidden="1"/>
    </xf>
    <xf numFmtId="9" fontId="1" fillId="0" borderId="0" xfId="5" applyNumberFormat="1" applyFont="1" applyFill="1" applyProtection="1">
      <protection hidden="1"/>
    </xf>
    <xf numFmtId="0" fontId="0" fillId="4" borderId="0" xfId="0" applyFill="1" applyProtection="1">
      <protection hidden="1"/>
    </xf>
    <xf numFmtId="0" fontId="10" fillId="4" borderId="0" xfId="0" applyFont="1" applyFill="1" applyProtection="1">
      <protection hidden="1"/>
    </xf>
    <xf numFmtId="0" fontId="1" fillId="4" borderId="1" xfId="0" applyFont="1" applyFill="1" applyBorder="1" applyProtection="1">
      <protection hidden="1"/>
    </xf>
    <xf numFmtId="44" fontId="0" fillId="4" borderId="1" xfId="0" applyNumberFormat="1" applyFill="1" applyBorder="1" applyProtection="1">
      <protection hidden="1"/>
    </xf>
    <xf numFmtId="0" fontId="1" fillId="4" borderId="0" xfId="0" applyFont="1" applyFill="1" applyBorder="1" applyProtection="1">
      <protection hidden="1"/>
    </xf>
    <xf numFmtId="44" fontId="0" fillId="4" borderId="0" xfId="0" applyNumberFormat="1" applyFill="1" applyBorder="1" applyProtection="1">
      <protection hidden="1"/>
    </xf>
    <xf numFmtId="0" fontId="3" fillId="2" borderId="0" xfId="4" applyFont="1" applyFill="1"/>
    <xf numFmtId="44" fontId="1" fillId="0" borderId="1" xfId="3" applyFont="1" applyFill="1" applyBorder="1"/>
    <xf numFmtId="10" fontId="0" fillId="0" borderId="1" xfId="5" applyNumberFormat="1" applyFont="1" applyFill="1" applyBorder="1" applyAlignment="1">
      <alignment horizontal="right" vertical="top"/>
    </xf>
    <xf numFmtId="44" fontId="5" fillId="0" borderId="1" xfId="2" applyFont="1" applyFill="1" applyBorder="1"/>
    <xf numFmtId="165" fontId="0" fillId="0" borderId="1" xfId="0" applyNumberFormat="1" applyFill="1" applyBorder="1"/>
    <xf numFmtId="44" fontId="0" fillId="0" borderId="1" xfId="0" applyNumberFormat="1" applyFill="1" applyBorder="1"/>
    <xf numFmtId="166" fontId="0" fillId="10" borderId="28" xfId="0" applyNumberFormat="1" applyFill="1" applyBorder="1"/>
    <xf numFmtId="166" fontId="0" fillId="10" borderId="29" xfId="0" applyNumberFormat="1" applyFill="1" applyBorder="1"/>
    <xf numFmtId="166" fontId="0" fillId="10" borderId="1" xfId="0" applyNumberFormat="1" applyFill="1" applyBorder="1"/>
    <xf numFmtId="0" fontId="0" fillId="10" borderId="1" xfId="0" applyFill="1" applyBorder="1"/>
    <xf numFmtId="10" fontId="0" fillId="2" borderId="0" xfId="0" applyNumberFormat="1" applyFill="1"/>
    <xf numFmtId="44" fontId="0" fillId="2" borderId="0" xfId="0" applyNumberFormat="1" applyFill="1"/>
    <xf numFmtId="44" fontId="1" fillId="0" borderId="1" xfId="2" applyFont="1" applyFill="1" applyBorder="1" applyAlignment="1" applyProtection="1">
      <alignment horizontal="right" vertical="top"/>
    </xf>
    <xf numFmtId="10" fontId="1" fillId="0" borderId="1" xfId="5" applyNumberFormat="1" applyFont="1" applyFill="1" applyBorder="1"/>
    <xf numFmtId="44" fontId="0" fillId="0" borderId="1" xfId="2" applyFont="1" applyFill="1" applyBorder="1" applyAlignment="1">
      <alignment vertical="top"/>
    </xf>
    <xf numFmtId="0" fontId="1" fillId="0" borderId="0" xfId="1" applyNumberFormat="1" applyFont="1" applyFill="1" applyBorder="1" applyAlignment="1">
      <alignment horizontal="center" vertical="top" wrapText="1"/>
    </xf>
    <xf numFmtId="44" fontId="1" fillId="0" borderId="1" xfId="2" applyFont="1" applyFill="1" applyBorder="1" applyAlignment="1">
      <alignment horizontal="center" vertical="top"/>
    </xf>
    <xf numFmtId="9" fontId="1" fillId="2" borderId="6" xfId="5" applyFont="1" applyFill="1" applyBorder="1" applyAlignment="1">
      <alignment horizontal="left"/>
    </xf>
    <xf numFmtId="9" fontId="1" fillId="2" borderId="12" xfId="5" applyFont="1" applyFill="1" applyBorder="1" applyAlignment="1">
      <alignment horizontal="left"/>
    </xf>
    <xf numFmtId="0" fontId="1" fillId="3" borderId="6" xfId="0" applyFont="1" applyFill="1" applyBorder="1" applyAlignment="1">
      <alignment horizontal="left"/>
    </xf>
    <xf numFmtId="0" fontId="1" fillId="3" borderId="22" xfId="0" applyFont="1" applyFill="1" applyBorder="1" applyAlignment="1">
      <alignment horizontal="left"/>
    </xf>
    <xf numFmtId="0" fontId="1" fillId="5" borderId="6" xfId="4" applyFont="1" applyFill="1" applyBorder="1" applyAlignment="1">
      <alignment horizontal="left"/>
    </xf>
    <xf numFmtId="0" fontId="1" fillId="5" borderId="22" xfId="4" applyFont="1" applyFill="1" applyBorder="1" applyAlignment="1">
      <alignment horizontal="left"/>
    </xf>
    <xf numFmtId="0" fontId="1" fillId="8" borderId="6" xfId="4" applyFont="1" applyFill="1" applyBorder="1" applyAlignment="1">
      <alignment horizontal="left"/>
    </xf>
    <xf numFmtId="0" fontId="1" fillId="8" borderId="22" xfId="4" applyFont="1" applyFill="1" applyBorder="1" applyAlignment="1">
      <alignment horizontal="left"/>
    </xf>
    <xf numFmtId="0" fontId="1" fillId="0" borderId="5" xfId="1" applyNumberFormat="1" applyFont="1" applyFill="1" applyBorder="1" applyAlignment="1">
      <alignment horizontal="center" vertical="top" wrapText="1"/>
    </xf>
    <xf numFmtId="0" fontId="1" fillId="0" borderId="21" xfId="1" applyNumberFormat="1" applyFont="1" applyFill="1" applyBorder="1" applyAlignment="1">
      <alignment horizontal="center" vertical="top" wrapText="1"/>
    </xf>
    <xf numFmtId="0" fontId="0" fillId="3" borderId="6" xfId="0" applyFill="1" applyBorder="1" applyAlignment="1">
      <alignment horizontal="left" wrapText="1"/>
    </xf>
    <xf numFmtId="0" fontId="0" fillId="3" borderId="12" xfId="0" applyFill="1" applyBorder="1" applyAlignment="1">
      <alignment horizontal="left" wrapText="1"/>
    </xf>
    <xf numFmtId="0" fontId="0" fillId="3" borderId="22" xfId="0" applyFill="1" applyBorder="1" applyAlignment="1">
      <alignment horizontal="left" wrapText="1"/>
    </xf>
    <xf numFmtId="0" fontId="3" fillId="2" borderId="6" xfId="0" applyFont="1" applyFill="1" applyBorder="1" applyAlignment="1">
      <alignment horizontal="left"/>
    </xf>
    <xf numFmtId="0" fontId="3" fillId="2" borderId="22" xfId="0" applyFont="1" applyFill="1" applyBorder="1" applyAlignment="1">
      <alignment horizontal="left"/>
    </xf>
    <xf numFmtId="0" fontId="1" fillId="2" borderId="23" xfId="0" applyFont="1" applyFill="1" applyBorder="1" applyAlignment="1">
      <alignment horizontal="left" wrapText="1"/>
    </xf>
    <xf numFmtId="0" fontId="0" fillId="2" borderId="24" xfId="0" applyFill="1" applyBorder="1" applyAlignment="1">
      <alignment horizontal="left" wrapText="1"/>
    </xf>
    <xf numFmtId="0" fontId="0" fillId="2" borderId="25" xfId="0" applyFill="1" applyBorder="1" applyAlignment="1">
      <alignment horizontal="left" wrapText="1"/>
    </xf>
    <xf numFmtId="0" fontId="0" fillId="2" borderId="23" xfId="0" applyFill="1" applyBorder="1" applyAlignment="1">
      <alignment horizontal="left"/>
    </xf>
    <xf numFmtId="0" fontId="0" fillId="2" borderId="24" xfId="0" applyFill="1" applyBorder="1" applyAlignment="1">
      <alignment horizontal="left"/>
    </xf>
    <xf numFmtId="10" fontId="0" fillId="2" borderId="7" xfId="5" applyNumberFormat="1" applyFont="1" applyFill="1" applyBorder="1" applyAlignment="1">
      <alignment horizontal="right" vertical="top"/>
    </xf>
    <xf numFmtId="10" fontId="0" fillId="2" borderId="5" xfId="5" applyNumberFormat="1" applyFont="1" applyFill="1" applyBorder="1" applyAlignment="1">
      <alignment horizontal="right" vertical="top"/>
    </xf>
    <xf numFmtId="10" fontId="0" fillId="2" borderId="21" xfId="5" applyNumberFormat="1" applyFont="1" applyFill="1" applyBorder="1" applyAlignment="1">
      <alignment horizontal="right" vertical="top"/>
    </xf>
    <xf numFmtId="0" fontId="0" fillId="3" borderId="6" xfId="0" applyFill="1" applyBorder="1" applyAlignment="1">
      <alignment horizontal="left"/>
    </xf>
    <xf numFmtId="0" fontId="0" fillId="3" borderId="22" xfId="0" applyFill="1" applyBorder="1" applyAlignment="1">
      <alignment horizontal="left"/>
    </xf>
    <xf numFmtId="0" fontId="0" fillId="2" borderId="26" xfId="0" applyFill="1" applyBorder="1" applyAlignment="1">
      <alignment horizontal="left" vertical="top" wrapText="1"/>
    </xf>
    <xf numFmtId="0" fontId="0" fillId="2" borderId="27" xfId="0" applyFill="1" applyBorder="1" applyAlignment="1">
      <alignment horizontal="left" vertical="top" wrapText="1"/>
    </xf>
    <xf numFmtId="0" fontId="0" fillId="2" borderId="6" xfId="0" applyFill="1" applyBorder="1" applyAlignment="1">
      <alignment horizontal="left" wrapText="1"/>
    </xf>
    <xf numFmtId="0" fontId="0" fillId="0" borderId="22" xfId="0" applyBorder="1"/>
    <xf numFmtId="0" fontId="1" fillId="2" borderId="6" xfId="0" applyFont="1" applyFill="1" applyBorder="1" applyAlignment="1">
      <alignment horizontal="left" wrapText="1"/>
    </xf>
    <xf numFmtId="0" fontId="0" fillId="2" borderId="6" xfId="0" applyFill="1" applyBorder="1" applyAlignment="1">
      <alignment horizontal="left"/>
    </xf>
    <xf numFmtId="0" fontId="0" fillId="2" borderId="12" xfId="0" applyFill="1" applyBorder="1" applyAlignment="1">
      <alignment horizontal="left"/>
    </xf>
    <xf numFmtId="0" fontId="0" fillId="2" borderId="22" xfId="0" applyFill="1" applyBorder="1" applyAlignment="1">
      <alignment horizontal="left"/>
    </xf>
    <xf numFmtId="0" fontId="3" fillId="2" borderId="1" xfId="0" applyFont="1" applyFill="1" applyBorder="1" applyAlignment="1">
      <alignment horizontal="left"/>
    </xf>
    <xf numFmtId="0" fontId="3" fillId="3" borderId="1" xfId="0" applyFont="1" applyFill="1" applyBorder="1" applyAlignment="1">
      <alignment horizontal="left"/>
    </xf>
    <xf numFmtId="0" fontId="0" fillId="2" borderId="1" xfId="0" applyFill="1" applyBorder="1" applyAlignment="1">
      <alignment horizontal="left"/>
    </xf>
    <xf numFmtId="0" fontId="1" fillId="6" borderId="6" xfId="0" applyFont="1" applyFill="1" applyBorder="1" applyAlignment="1" applyProtection="1">
      <alignment horizontal="center"/>
      <protection locked="0"/>
    </xf>
    <xf numFmtId="0" fontId="1" fillId="6" borderId="12" xfId="0" applyFont="1" applyFill="1" applyBorder="1" applyAlignment="1" applyProtection="1">
      <alignment horizontal="center"/>
      <protection locked="0"/>
    </xf>
    <xf numFmtId="0" fontId="1" fillId="6" borderId="22" xfId="0" applyFont="1" applyFill="1" applyBorder="1" applyAlignment="1" applyProtection="1">
      <alignment horizontal="center"/>
      <protection locked="0"/>
    </xf>
    <xf numFmtId="0" fontId="1" fillId="5" borderId="6" xfId="0" applyFont="1" applyFill="1" applyBorder="1" applyAlignment="1">
      <alignment horizontal="center"/>
    </xf>
    <xf numFmtId="0" fontId="1" fillId="5" borderId="12" xfId="0" applyFont="1" applyFill="1" applyBorder="1" applyAlignment="1">
      <alignment horizontal="center"/>
    </xf>
    <xf numFmtId="0" fontId="1" fillId="5" borderId="22" xfId="0" applyFont="1" applyFill="1" applyBorder="1" applyAlignment="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
  <sheetViews>
    <sheetView tabSelected="1" zoomScale="93" zoomScaleNormal="93" workbookViewId="0">
      <selection activeCell="C15" sqref="C15"/>
    </sheetView>
  </sheetViews>
  <sheetFormatPr defaultColWidth="9.140625" defaultRowHeight="12.75" x14ac:dyDescent="0.2"/>
  <cols>
    <col min="1" max="1" width="30.5703125" style="60" customWidth="1"/>
    <col min="2" max="2" width="13" style="85" customWidth="1"/>
    <col min="3" max="3" width="13.140625" style="85" customWidth="1"/>
    <col min="4" max="4" width="14.7109375" style="86" customWidth="1"/>
    <col min="5" max="5" width="17.42578125" style="86" customWidth="1"/>
    <col min="6" max="6" width="17" style="85" customWidth="1"/>
    <col min="7" max="7" width="8.7109375" style="60" customWidth="1"/>
    <col min="8" max="8" width="9.140625" style="60" hidden="1" customWidth="1"/>
    <col min="9" max="10" width="6.42578125" style="60" hidden="1" customWidth="1"/>
    <col min="11" max="11" width="8.140625" style="61" hidden="1" customWidth="1"/>
    <col min="12" max="12" width="9.140625" style="60" customWidth="1"/>
    <col min="13" max="16384" width="9.140625" style="60"/>
  </cols>
  <sheetData>
    <row r="1" spans="1:11" ht="15" customHeight="1" x14ac:dyDescent="0.2">
      <c r="A1" s="22" t="s">
        <v>18</v>
      </c>
      <c r="B1" s="22"/>
      <c r="C1" s="60"/>
      <c r="D1" s="60"/>
      <c r="E1" s="60"/>
      <c r="F1" s="60"/>
    </row>
    <row r="2" spans="1:11" ht="15" customHeight="1" x14ac:dyDescent="0.2">
      <c r="A2" s="22"/>
      <c r="B2" s="22"/>
      <c r="C2" s="60"/>
      <c r="D2" s="60"/>
      <c r="E2" s="60"/>
      <c r="F2" s="60"/>
    </row>
    <row r="3" spans="1:11" ht="15" customHeight="1" x14ac:dyDescent="0.2">
      <c r="A3" s="126" t="s">
        <v>255</v>
      </c>
      <c r="B3" s="126"/>
      <c r="C3" s="126"/>
      <c r="D3" s="60"/>
      <c r="E3" s="60"/>
      <c r="F3" s="60"/>
    </row>
    <row r="4" spans="1:11" ht="15" customHeight="1" x14ac:dyDescent="0.2">
      <c r="A4" s="147" t="s">
        <v>256</v>
      </c>
      <c r="B4" s="148"/>
      <c r="C4" s="138">
        <v>19.149999999999999</v>
      </c>
      <c r="D4" s="60"/>
      <c r="E4" s="60"/>
      <c r="F4" s="60"/>
    </row>
    <row r="5" spans="1:11" ht="15" customHeight="1" x14ac:dyDescent="0.2">
      <c r="A5" s="147" t="s">
        <v>257</v>
      </c>
      <c r="B5" s="148"/>
      <c r="C5" s="139">
        <v>6.7000000000000004E-2</v>
      </c>
      <c r="D5" s="60"/>
      <c r="E5" s="60"/>
      <c r="F5" s="60"/>
    </row>
    <row r="6" spans="1:11" ht="15" customHeight="1" thickBot="1" x14ac:dyDescent="0.25">
      <c r="A6" s="149" t="s">
        <v>258</v>
      </c>
      <c r="B6" s="150"/>
      <c r="C6" s="127">
        <f>ROUND(C4*C5+C4,2)</f>
        <v>20.43</v>
      </c>
      <c r="D6" s="60"/>
      <c r="E6" s="60"/>
      <c r="F6" s="60"/>
    </row>
    <row r="7" spans="1:11" ht="15" customHeight="1" x14ac:dyDescent="0.2">
      <c r="B7" s="60"/>
      <c r="C7" s="60"/>
      <c r="D7" s="60"/>
      <c r="E7" s="60"/>
      <c r="F7" s="60"/>
      <c r="H7" s="62" t="s">
        <v>54</v>
      </c>
      <c r="I7" s="63">
        <f>1/1</f>
        <v>1</v>
      </c>
      <c r="J7" s="63">
        <v>1</v>
      </c>
      <c r="K7" s="64">
        <v>1</v>
      </c>
    </row>
    <row r="8" spans="1:11" ht="15" customHeight="1" x14ac:dyDescent="0.2">
      <c r="A8" s="5" t="s">
        <v>260</v>
      </c>
      <c r="B8" s="60"/>
      <c r="C8" s="60"/>
      <c r="D8" s="60"/>
      <c r="E8" s="60"/>
      <c r="F8" s="60"/>
      <c r="H8" s="65" t="s">
        <v>55</v>
      </c>
      <c r="I8" s="66">
        <f>1/0.548</f>
        <v>1.824817518248175</v>
      </c>
      <c r="J8" s="66">
        <v>2</v>
      </c>
      <c r="K8" s="67">
        <v>0.54800000000000004</v>
      </c>
    </row>
    <row r="9" spans="1:11" ht="25.5" x14ac:dyDescent="0.2">
      <c r="A9" s="68" t="s">
        <v>0</v>
      </c>
      <c r="B9" s="69" t="s">
        <v>53</v>
      </c>
      <c r="C9" s="54" t="s">
        <v>259</v>
      </c>
      <c r="D9" s="23" t="s">
        <v>81</v>
      </c>
      <c r="E9" s="54" t="s">
        <v>82</v>
      </c>
      <c r="F9" s="55" t="s">
        <v>86</v>
      </c>
      <c r="H9" s="70" t="s">
        <v>56</v>
      </c>
      <c r="I9" s="71">
        <f>1/0.397</f>
        <v>2.5188916876574305</v>
      </c>
      <c r="J9" s="71">
        <v>3</v>
      </c>
      <c r="K9" s="72">
        <v>0.39700000000000002</v>
      </c>
    </row>
    <row r="10" spans="1:11" ht="15" customHeight="1" x14ac:dyDescent="0.2">
      <c r="A10" s="73" t="s">
        <v>60</v>
      </c>
      <c r="B10" s="74" t="s">
        <v>54</v>
      </c>
      <c r="C10" s="16">
        <f>$C$6</f>
        <v>20.43</v>
      </c>
      <c r="D10" s="50">
        <v>6</v>
      </c>
      <c r="E10" s="16">
        <f>C10*D10</f>
        <v>122.58</v>
      </c>
      <c r="F10" s="16">
        <f>E10/(VLOOKUP(B10,H7:K16,2,FALSE))</f>
        <v>122.58</v>
      </c>
      <c r="H10" s="75" t="s">
        <v>57</v>
      </c>
      <c r="I10" s="58">
        <f>1/0.321</f>
        <v>3.1152647975077881</v>
      </c>
      <c r="J10" s="58">
        <v>4</v>
      </c>
      <c r="K10" s="76">
        <v>0.32100000000000001</v>
      </c>
    </row>
    <row r="11" spans="1:11" x14ac:dyDescent="0.2">
      <c r="B11" s="60"/>
      <c r="C11" s="60"/>
      <c r="D11" s="60"/>
      <c r="E11" s="60"/>
      <c r="F11" s="60"/>
      <c r="H11" s="75" t="s">
        <v>267</v>
      </c>
      <c r="I11" s="58">
        <f>1/0.276</f>
        <v>3.6231884057971011</v>
      </c>
      <c r="J11" s="58">
        <v>5</v>
      </c>
      <c r="K11" s="76">
        <v>0.27600000000000002</v>
      </c>
    </row>
    <row r="12" spans="1:11" ht="15" customHeight="1" x14ac:dyDescent="0.2">
      <c r="A12" s="5" t="s">
        <v>261</v>
      </c>
      <c r="B12" s="60"/>
      <c r="C12" s="60"/>
      <c r="D12" s="60"/>
      <c r="E12" s="60"/>
      <c r="F12" s="60"/>
      <c r="H12" s="75" t="s">
        <v>268</v>
      </c>
      <c r="I12" s="58">
        <f>1/0.246</f>
        <v>4.0650406504065044</v>
      </c>
      <c r="J12" s="58">
        <v>6</v>
      </c>
      <c r="K12" s="76">
        <v>0.246</v>
      </c>
    </row>
    <row r="13" spans="1:11" ht="25.5" x14ac:dyDescent="0.2">
      <c r="A13" s="48" t="s">
        <v>77</v>
      </c>
      <c r="B13" s="77"/>
      <c r="C13" s="24" t="s">
        <v>16</v>
      </c>
      <c r="D13" s="4" t="s">
        <v>79</v>
      </c>
      <c r="E13" s="4" t="s">
        <v>83</v>
      </c>
      <c r="F13" s="4" t="s">
        <v>87</v>
      </c>
      <c r="H13" s="75" t="s">
        <v>73</v>
      </c>
      <c r="I13" s="58">
        <f>1/0.224</f>
        <v>4.4642857142857144</v>
      </c>
      <c r="J13" s="58">
        <v>7</v>
      </c>
      <c r="K13" s="76">
        <v>0.224</v>
      </c>
    </row>
    <row r="14" spans="1:11" x14ac:dyDescent="0.2">
      <c r="A14" s="49" t="s">
        <v>77</v>
      </c>
      <c r="B14" s="78"/>
      <c r="C14" s="15">
        <v>23.64</v>
      </c>
      <c r="D14" s="52">
        <v>0.11</v>
      </c>
      <c r="E14" s="50">
        <f>D10*D14</f>
        <v>0.66</v>
      </c>
      <c r="F14" s="15">
        <f>(C14*E14)/VLOOKUP(B10,H7:K16,2,FALSE)</f>
        <v>15.602400000000001</v>
      </c>
      <c r="H14" s="46" t="s">
        <v>58</v>
      </c>
      <c r="I14" s="58">
        <f>1/0.208</f>
        <v>4.8076923076923075</v>
      </c>
      <c r="J14" s="58">
        <v>8</v>
      </c>
      <c r="K14" s="76">
        <v>0.20799999999999999</v>
      </c>
    </row>
    <row r="15" spans="1:11" x14ac:dyDescent="0.2">
      <c r="B15" s="60"/>
      <c r="C15" s="60"/>
      <c r="D15" s="60"/>
      <c r="E15" s="60"/>
      <c r="F15" s="60"/>
      <c r="H15" s="46" t="s">
        <v>74</v>
      </c>
      <c r="I15" s="58">
        <f>1/0.196</f>
        <v>5.1020408163265305</v>
      </c>
      <c r="J15" s="58">
        <v>9</v>
      </c>
      <c r="K15" s="76">
        <v>0.19600000000000001</v>
      </c>
    </row>
    <row r="16" spans="1:11" ht="13.5" thickBot="1" x14ac:dyDescent="0.25">
      <c r="A16" s="8" t="s">
        <v>262</v>
      </c>
      <c r="B16" s="79"/>
      <c r="C16" s="6"/>
      <c r="D16" s="7"/>
      <c r="E16" s="7"/>
      <c r="F16" s="6"/>
      <c r="H16" s="47" t="s">
        <v>59</v>
      </c>
      <c r="I16" s="59">
        <f>1/0.186</f>
        <v>5.376344086021505</v>
      </c>
      <c r="J16" s="59">
        <v>10</v>
      </c>
      <c r="K16" s="80">
        <v>0.186</v>
      </c>
    </row>
    <row r="17" spans="1:6" ht="38.25" x14ac:dyDescent="0.2">
      <c r="A17" s="13" t="s">
        <v>23</v>
      </c>
      <c r="B17" s="3" t="s">
        <v>14</v>
      </c>
      <c r="C17" s="4" t="s">
        <v>15</v>
      </c>
      <c r="D17" s="4" t="s">
        <v>88</v>
      </c>
      <c r="E17" s="13" t="s">
        <v>84</v>
      </c>
      <c r="F17" s="4" t="s">
        <v>85</v>
      </c>
    </row>
    <row r="18" spans="1:6" x14ac:dyDescent="0.2">
      <c r="A18" s="51" t="s">
        <v>78</v>
      </c>
      <c r="B18" s="9">
        <v>0</v>
      </c>
      <c r="C18" s="111">
        <v>0</v>
      </c>
      <c r="D18" s="151">
        <f>IF(C18&gt;0,D10,0)</f>
        <v>0</v>
      </c>
      <c r="E18" s="142">
        <f>C18*D18</f>
        <v>0</v>
      </c>
      <c r="F18" s="142">
        <f>E18</f>
        <v>0</v>
      </c>
    </row>
    <row r="19" spans="1:6" x14ac:dyDescent="0.2">
      <c r="A19" s="51" t="s">
        <v>48</v>
      </c>
      <c r="B19" s="81">
        <v>2.5</v>
      </c>
      <c r="C19" s="112"/>
      <c r="D19" s="152"/>
      <c r="E19" s="142"/>
      <c r="F19" s="142"/>
    </row>
    <row r="20" spans="1:6" x14ac:dyDescent="0.2">
      <c r="B20" s="60"/>
      <c r="C20" s="60"/>
      <c r="D20" s="60"/>
      <c r="E20" s="60"/>
      <c r="F20" s="60"/>
    </row>
    <row r="21" spans="1:6" x14ac:dyDescent="0.2">
      <c r="A21" s="5" t="s">
        <v>263</v>
      </c>
      <c r="B21" s="5"/>
      <c r="C21" s="5"/>
      <c r="D21" s="5"/>
      <c r="E21" s="60"/>
      <c r="F21" s="60"/>
    </row>
    <row r="22" spans="1:6" x14ac:dyDescent="0.2">
      <c r="A22" s="88" t="s">
        <v>0</v>
      </c>
      <c r="B22" s="89" t="s">
        <v>16</v>
      </c>
      <c r="C22" s="88" t="s">
        <v>81</v>
      </c>
      <c r="D22" s="88" t="s">
        <v>94</v>
      </c>
      <c r="E22" s="60"/>
      <c r="F22" s="60"/>
    </row>
    <row r="23" spans="1:6" x14ac:dyDescent="0.2">
      <c r="A23" s="51" t="s">
        <v>95</v>
      </c>
      <c r="B23" s="16">
        <v>24.9</v>
      </c>
      <c r="C23" s="92"/>
      <c r="D23" s="9">
        <f>B23*C23</f>
        <v>0</v>
      </c>
      <c r="E23" s="60"/>
      <c r="F23" s="60"/>
    </row>
    <row r="24" spans="1:6" x14ac:dyDescent="0.2">
      <c r="A24" s="87"/>
      <c r="B24" s="87"/>
      <c r="C24" s="90"/>
      <c r="D24" s="87"/>
      <c r="E24" s="60"/>
      <c r="F24" s="60"/>
    </row>
    <row r="25" spans="1:6" x14ac:dyDescent="0.2">
      <c r="A25" s="5" t="s">
        <v>264</v>
      </c>
      <c r="B25" s="5"/>
      <c r="C25" s="5"/>
      <c r="D25" s="5"/>
      <c r="E25" s="60"/>
      <c r="F25" s="60"/>
    </row>
    <row r="26" spans="1:6" x14ac:dyDescent="0.2">
      <c r="A26" s="88" t="s">
        <v>0</v>
      </c>
      <c r="B26" s="89" t="s">
        <v>16</v>
      </c>
      <c r="C26" s="88" t="s">
        <v>81</v>
      </c>
      <c r="D26" s="88" t="s">
        <v>94</v>
      </c>
      <c r="E26" s="60"/>
      <c r="F26" s="60"/>
    </row>
    <row r="27" spans="1:6" ht="13.5" customHeight="1" x14ac:dyDescent="0.2">
      <c r="A27" s="51" t="s">
        <v>93</v>
      </c>
      <c r="B27" s="16">
        <v>41.07</v>
      </c>
      <c r="C27" s="92"/>
      <c r="D27" s="9">
        <f>B27*C27</f>
        <v>0</v>
      </c>
      <c r="E27" s="60"/>
      <c r="F27" s="60"/>
    </row>
    <row r="28" spans="1:6" x14ac:dyDescent="0.2">
      <c r="B28" s="60"/>
      <c r="C28" s="60"/>
      <c r="D28" s="60"/>
      <c r="E28" s="60"/>
      <c r="F28" s="60"/>
    </row>
    <row r="29" spans="1:6" x14ac:dyDescent="0.2">
      <c r="A29" s="5" t="s">
        <v>265</v>
      </c>
      <c r="B29" s="60"/>
      <c r="C29" s="60"/>
      <c r="D29" s="60"/>
      <c r="E29" s="60"/>
      <c r="F29" s="60"/>
    </row>
    <row r="30" spans="1:6" x14ac:dyDescent="0.2">
      <c r="A30" s="48" t="s">
        <v>67</v>
      </c>
      <c r="B30" s="77"/>
      <c r="C30" s="77"/>
      <c r="D30" s="82" t="s">
        <v>17</v>
      </c>
      <c r="E30" s="60"/>
      <c r="F30" s="60"/>
    </row>
    <row r="31" spans="1:6" x14ac:dyDescent="0.2">
      <c r="A31" s="143" t="s">
        <v>29</v>
      </c>
      <c r="B31" s="144"/>
      <c r="C31" s="83">
        <v>8.7099999999999997E-2</v>
      </c>
      <c r="D31" s="9">
        <f>(F10+F14+F18+D27+D23)*C31</f>
        <v>12.035687039999999</v>
      </c>
      <c r="E31" s="60"/>
      <c r="F31" s="60"/>
    </row>
    <row r="32" spans="1:6" x14ac:dyDescent="0.2">
      <c r="B32" s="60"/>
      <c r="C32" s="60"/>
      <c r="D32" s="60"/>
      <c r="E32" s="60"/>
      <c r="F32" s="60"/>
    </row>
    <row r="33" spans="1:6" x14ac:dyDescent="0.2">
      <c r="A33" s="5" t="s">
        <v>266</v>
      </c>
      <c r="B33" s="60"/>
      <c r="C33" s="60"/>
      <c r="D33" s="60"/>
      <c r="E33" s="60"/>
      <c r="F33" s="60"/>
    </row>
    <row r="34" spans="1:6" x14ac:dyDescent="0.2">
      <c r="A34" s="145" t="s">
        <v>24</v>
      </c>
      <c r="B34" s="146"/>
      <c r="C34" s="84">
        <f>F10+F14+F18+D27+D23+D31</f>
        <v>150.21808704</v>
      </c>
      <c r="D34" s="60"/>
      <c r="E34" s="60"/>
      <c r="F34" s="60"/>
    </row>
    <row r="35" spans="1:6" x14ac:dyDescent="0.2">
      <c r="B35" s="60"/>
      <c r="C35" s="60"/>
      <c r="D35" s="60"/>
      <c r="E35" s="60"/>
      <c r="F35" s="60"/>
    </row>
    <row r="36" spans="1:6" x14ac:dyDescent="0.2">
      <c r="B36" s="60"/>
      <c r="C36" s="60"/>
      <c r="D36" s="60"/>
      <c r="E36" s="60"/>
      <c r="F36" s="60"/>
    </row>
    <row r="43" spans="1:6" ht="19.5" customHeight="1" x14ac:dyDescent="0.2"/>
    <row r="44" spans="1:6" x14ac:dyDescent="0.2">
      <c r="B44" s="141"/>
    </row>
    <row r="45" spans="1:6" x14ac:dyDescent="0.2">
      <c r="B45" s="141"/>
    </row>
    <row r="46" spans="1:6" x14ac:dyDescent="0.2">
      <c r="B46" s="141"/>
    </row>
  </sheetData>
  <sheetProtection algorithmName="SHA-512" hashValue="pREIOzM3MA2ygiHjFHiWmVr58Ium69CSCitXbO6lJQBAL6wjbmg/fmJET4mhQ8r5n86iAVbXFtfugJPE2PMgfg==" saltValue="axr0JYMLmVdSV/ExXNFo6w==" spinCount="100000" sheet="1" objects="1" scenarios="1"/>
  <mergeCells count="9">
    <mergeCell ref="A4:B4"/>
    <mergeCell ref="A5:B5"/>
    <mergeCell ref="A6:B6"/>
    <mergeCell ref="D18:D19"/>
    <mergeCell ref="B44:B46"/>
    <mergeCell ref="E18:E19"/>
    <mergeCell ref="F18:F19"/>
    <mergeCell ref="A31:B31"/>
    <mergeCell ref="A34:B34"/>
  </mergeCells>
  <phoneticPr fontId="2" type="noConversion"/>
  <dataValidations xWindow="735" yWindow="259" count="27">
    <dataValidation allowBlank="1" showInputMessage="1" showErrorMessage="1" prompt="Direct Staff Wage" sqref="C10" xr:uid="{00000000-0002-0000-0000-000000000000}"/>
    <dataValidation allowBlank="1" showInputMessage="1" showErrorMessage="1" prompt="Direct Staff Hours per Day" sqref="D10" xr:uid="{00000000-0002-0000-0000-000001000000}"/>
    <dataValidation allowBlank="1" showInputMessage="1" showErrorMessage="1" prompt="Direct Staff Total Cost per Day formula is Wage times Hours per Day" sqref="E10" xr:uid="{00000000-0002-0000-0000-000002000000}"/>
    <dataValidation allowBlank="1" showInputMessage="1" showErrorMessage="1" prompt="Direct Staff Pro-rated Cost of Staff per Day formula is Total Cost per Day divided by last digit of Staffing Ratio" sqref="F10" xr:uid="{00000000-0002-0000-0000-000003000000}"/>
    <dataValidation allowBlank="1" showInputMessage="1" showErrorMessage="1" prompt="Supervision Wage" sqref="C14" xr:uid="{00000000-0002-0000-0000-000004000000}"/>
    <dataValidation allowBlank="1" showInputMessage="1" showErrorMessage="1" prompt="Supervision Hours per Day formula is equal to Direct Staff Hours per Day times Supervision Percent" sqref="E14" xr:uid="{00000000-0002-0000-0000-000005000000}"/>
    <dataValidation allowBlank="1" showInputMessage="1" showErrorMessage="1" prompt="Supervision Total Cost per Day formula is (Supervision Wage times Supervision Hours per Day) divided by last digit of Staffing Ratio" sqref="F14" xr:uid="{00000000-0002-0000-0000-000006000000}"/>
    <dataValidation allowBlank="1" showInputMessage="1" showErrorMessage="1" prompt="No Customization Add-on Amount" sqref="B18" xr:uid="{00000000-0002-0000-0000-000007000000}"/>
    <dataValidation allowBlank="1" showInputMessage="1" showErrorMessage="1" prompt="Benefit Percentage for Direct Care Staffing " sqref="C31" xr:uid="{00000000-0002-0000-0000-000008000000}"/>
    <dataValidation allowBlank="1" showInputMessage="1" showErrorMessage="1" prompt="Benefit Amount formula is sum of (Direct Staff Prorated Cost of Staff per Day plus Supervision Total Cost per Day plus Staffing Customization Amount per Day plus RN Amount per Day plus LPN Amount per Day) times Benefit Percentage for Direct Staffing" sqref="D31" xr:uid="{00000000-0002-0000-0000-000009000000}"/>
    <dataValidation allowBlank="1" showInputMessage="1" showErrorMessage="1" prompt="Total Individual Staffing Amount formula is Direct Staff Pro-rated Cost of Staff per Day plus Supervision Total Cost per Day plus Staffing Customization Amount per Day plus RN Amount per Day plus LPN Amount per Day plus Benefit Amount" sqref="C34" xr:uid="{00000000-0002-0000-0000-00000A000000}"/>
    <dataValidation allowBlank="1" showInputMessage="1" showErrorMessage="1" prompt="If Add-on Choice Amount is greater than $0, Staffing Customization Total Hours per Week formula is equal to Direct Staff Hours per Week" sqref="B44:B46" xr:uid="{00000000-0002-0000-0000-00000B000000}"/>
    <dataValidation type="list" allowBlank="1" showInputMessage="1" showErrorMessage="1" prompt="Enter Add-on Amount.  Press ALT and the down arrow to bring up the drop down options.  Use arrow keys to scroll through the options and press ENTER on the appropriate selection" sqref="C18" xr:uid="{00000000-0002-0000-0000-00000C000000}">
      <formula1>$B$18:$B$19</formula1>
    </dataValidation>
    <dataValidation allowBlank="1" showInputMessage="1" showErrorMessage="1" prompt="Staffing Customization Total Cost per Day formula is Add-on Amount times Staffing Customization Total Hours per Day" sqref="E18:E19" xr:uid="{00000000-0002-0000-0000-00000D000000}"/>
    <dataValidation allowBlank="1" showInputMessage="1" showErrorMessage="1" prompt="Staffing Customization Amount perDay formula is equal to Total Cost per Day" sqref="F18:F19" xr:uid="{00000000-0002-0000-0000-00000E000000}"/>
    <dataValidation allowBlank="1" showInputMessage="1" showErrorMessage="1" prompt="Supervision Percent" sqref="D14" xr:uid="{00000000-0002-0000-0000-00000F000000}"/>
    <dataValidation allowBlank="1" showInputMessage="1" showErrorMessage="1" prompt="If Add-on Choice Amount is greater than $0, Staffing Customization Total Hours perDay formula is equal to Direct Staff Hours per Day" sqref="D18:D19" xr:uid="{00000000-0002-0000-0000-000010000000}"/>
    <dataValidation allowBlank="1" showInputMessage="1" showErrorMessage="1" prompt="RN Wage" sqref="B27" xr:uid="{00000000-0002-0000-0000-000011000000}"/>
    <dataValidation type="decimal" operator="lessThan" allowBlank="1" showInputMessage="1" showErrorMessage="1" prompt="Enter RN Hours per Day" sqref="C27" xr:uid="{00000000-0002-0000-0000-000012000000}">
      <formula1>6.00000000001</formula1>
    </dataValidation>
    <dataValidation allowBlank="1" showInputMessage="1" showErrorMessage="1" prompt="RN Amount per Day formula is RN Wage times Hours per Day" sqref="D27" xr:uid="{00000000-0002-0000-0000-000013000000}"/>
    <dataValidation allowBlank="1" showInputMessage="1" showErrorMessage="1" prompt="LPN Wage" sqref="B23" xr:uid="{00000000-0002-0000-0000-000014000000}"/>
    <dataValidation type="decimal" operator="lessThan" allowBlank="1" showInputMessage="1" showErrorMessage="1" prompt="Enter LPN Hours per Day" sqref="C23" xr:uid="{00000000-0002-0000-0000-000015000000}">
      <formula1>6.00000000000001</formula1>
    </dataValidation>
    <dataValidation allowBlank="1" showInputMessage="1" showErrorMessage="1" prompt="LPN Amount per Day formula is LPN Wage times Hours per Day" sqref="D23" xr:uid="{00000000-0002-0000-0000-000016000000}"/>
    <dataValidation allowBlank="1" showInputMessage="1" showErrorMessage="1" prompt="Use CTRL plus arrow keys to move to edge of tables.  Use TAB to move to data entry fields" sqref="A1:B2" xr:uid="{00000000-0002-0000-0000-000017000000}"/>
    <dataValidation allowBlank="1" showInputMessage="1" showErrorMessage="1" prompt="Deaf or Hard of Hearing Add-on Amount" sqref="B19" xr:uid="{00000000-0002-0000-0000-000018000000}"/>
    <dataValidation allowBlank="1" showInputMessage="1" showErrorMessage="1" prompt="Shared On-site Primary Staff/Awake Wage" sqref="C4" xr:uid="{00000000-0002-0000-0000-000019000000}"/>
    <dataValidation type="list" allowBlank="1" showInputMessage="1" showErrorMessage="1" prompt="Enter Direct Staff Staffing Ratio.  Press ALT and the down arrow to bring up the drop down options.  Use arrow keys to scroll through the options and press ENTER on the appropriate selection" sqref="B10" xr:uid="{00000000-0002-0000-0000-00001A000000}">
      <formula1>$H$7:$H$16</formula1>
    </dataValidation>
  </dataValidations>
  <pageMargins left="0.75" right="0.75" top="1.37" bottom="1" header="0.5" footer="0.5"/>
  <pageSetup scale="78" orientation="portrait" r:id="rId1"/>
  <headerFooter alignWithMargins="0">
    <oddHeader>&amp;C&amp;G</oddHeader>
    <oddFooter>&amp;LDWRS Draft framework for Adult Day Care Services&amp;R&amp;P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
  <sheetViews>
    <sheetView zoomScale="125" workbookViewId="0">
      <selection activeCell="C9" sqref="C9"/>
    </sheetView>
  </sheetViews>
  <sheetFormatPr defaultColWidth="9.140625" defaultRowHeight="12.75" x14ac:dyDescent="0.2"/>
  <cols>
    <col min="1" max="1" width="3.7109375" style="1" customWidth="1"/>
    <col min="2" max="2" width="62.7109375" style="1" customWidth="1"/>
    <col min="3" max="3" width="15.42578125" style="1" bestFit="1" customWidth="1"/>
    <col min="4" max="7" width="9.140625" style="2"/>
    <col min="8" max="16384" width="9.140625" style="1"/>
  </cols>
  <sheetData>
    <row r="1" spans="1:13" ht="15" x14ac:dyDescent="0.2">
      <c r="A1" s="22" t="s">
        <v>38</v>
      </c>
      <c r="B1" s="22"/>
      <c r="C1" s="22"/>
      <c r="D1" s="28"/>
      <c r="E1" s="28"/>
    </row>
    <row r="2" spans="1:13" x14ac:dyDescent="0.2">
      <c r="A2" s="28"/>
      <c r="B2" s="28"/>
      <c r="C2" s="28"/>
      <c r="D2" s="28"/>
      <c r="E2" s="28"/>
    </row>
    <row r="3" spans="1:13" x14ac:dyDescent="0.2">
      <c r="A3" s="5" t="s">
        <v>39</v>
      </c>
      <c r="D3" s="28"/>
      <c r="E3" s="28"/>
    </row>
    <row r="4" spans="1:13" ht="12.75" customHeight="1" x14ac:dyDescent="0.2">
      <c r="A4" s="153" t="s">
        <v>40</v>
      </c>
      <c r="B4" s="154"/>
      <c r="C4" s="155"/>
      <c r="D4" s="28"/>
      <c r="E4" s="28"/>
    </row>
    <row r="5" spans="1:13" ht="27.75" customHeight="1" x14ac:dyDescent="0.2">
      <c r="A5" s="158" t="s">
        <v>97</v>
      </c>
      <c r="B5" s="159"/>
      <c r="C5" s="160"/>
      <c r="D5" s="28"/>
      <c r="E5" s="28"/>
    </row>
    <row r="6" spans="1:13" x14ac:dyDescent="0.2">
      <c r="A6" s="17"/>
      <c r="B6" s="18" t="s">
        <v>32</v>
      </c>
      <c r="C6" s="19"/>
      <c r="D6" s="28"/>
      <c r="E6" s="28"/>
    </row>
    <row r="7" spans="1:13" x14ac:dyDescent="0.2">
      <c r="A7" s="17"/>
      <c r="B7" s="18" t="s">
        <v>33</v>
      </c>
      <c r="C7" s="14"/>
      <c r="D7" s="28"/>
      <c r="E7" s="28"/>
    </row>
    <row r="8" spans="1:13" x14ac:dyDescent="0.2">
      <c r="A8" s="17"/>
      <c r="B8" s="18" t="s">
        <v>37</v>
      </c>
      <c r="C8" s="14"/>
      <c r="D8" s="28"/>
      <c r="E8" s="28"/>
    </row>
    <row r="9" spans="1:13" x14ac:dyDescent="0.2">
      <c r="A9" s="156" t="s">
        <v>61</v>
      </c>
      <c r="B9" s="157"/>
      <c r="C9" s="40">
        <v>5.6000000000000001E-2</v>
      </c>
      <c r="D9" s="28"/>
      <c r="E9" s="28"/>
    </row>
    <row r="10" spans="1:13" s="2" customFormat="1" x14ac:dyDescent="0.2">
      <c r="A10" s="28"/>
      <c r="B10" s="28"/>
      <c r="C10" s="28"/>
      <c r="D10" s="28"/>
      <c r="E10" s="28"/>
    </row>
    <row r="11" spans="1:13" s="2" customFormat="1" x14ac:dyDescent="0.2">
      <c r="A11" s="28"/>
      <c r="B11" s="28"/>
      <c r="C11" s="28"/>
      <c r="D11" s="28"/>
      <c r="E11" s="28"/>
    </row>
    <row r="12" spans="1:13" s="2" customFormat="1" x14ac:dyDescent="0.2">
      <c r="B12" s="2" t="s">
        <v>47</v>
      </c>
    </row>
    <row r="13" spans="1:13" s="2" customFormat="1" x14ac:dyDescent="0.2">
      <c r="H13" s="2" t="s">
        <v>44</v>
      </c>
    </row>
    <row r="14" spans="1:13" x14ac:dyDescent="0.2">
      <c r="A14" s="2"/>
      <c r="B14" s="2"/>
      <c r="C14" s="2"/>
      <c r="M14" s="1" t="s">
        <v>45</v>
      </c>
    </row>
  </sheetData>
  <sheetProtection algorithmName="SHA-512" hashValue="cupsSWnsmyqfdVtPyeIMDms67S3PcBXqb8wTnrIMUTF8djFY+zBJzclIW+wJW8L9Ov2R+654Ko/DUqX6hKU7lw==" saltValue="7UcJ7dW1GAkJHCp68cklJQ==" spinCount="100000" sheet="1" objects="1" scenarios="1"/>
  <mergeCells count="3">
    <mergeCell ref="A4:C4"/>
    <mergeCell ref="A9:B9"/>
    <mergeCell ref="A5:C5"/>
  </mergeCells>
  <phoneticPr fontId="2" type="noConversion"/>
  <dataValidations count="1">
    <dataValidation allowBlank="1" showInputMessage="1" showErrorMessage="1" prompt="Program Support Percentage" sqref="C9" xr:uid="{00000000-0002-0000-0100-000000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
  <sheetViews>
    <sheetView zoomScale="125" workbookViewId="0">
      <selection activeCell="C5" sqref="C5:C7"/>
    </sheetView>
  </sheetViews>
  <sheetFormatPr defaultColWidth="9.140625" defaultRowHeight="12.75" x14ac:dyDescent="0.2"/>
  <cols>
    <col min="1" max="1" width="3" style="1" customWidth="1"/>
    <col min="2" max="2" width="40.140625" style="1" bestFit="1" customWidth="1"/>
    <col min="3" max="3" width="24.5703125" style="1" customWidth="1"/>
    <col min="4" max="16384" width="9.140625" style="1"/>
  </cols>
  <sheetData>
    <row r="1" spans="1:5" ht="15" x14ac:dyDescent="0.2">
      <c r="A1" s="22" t="s">
        <v>30</v>
      </c>
      <c r="B1" s="22"/>
      <c r="C1" s="22"/>
      <c r="D1" s="28"/>
      <c r="E1" s="28"/>
    </row>
    <row r="2" spans="1:5" x14ac:dyDescent="0.2">
      <c r="A2" s="28"/>
      <c r="B2" s="28"/>
      <c r="C2" s="28"/>
      <c r="D2" s="28"/>
      <c r="E2" s="28"/>
    </row>
    <row r="3" spans="1:5" x14ac:dyDescent="0.2">
      <c r="A3" s="5" t="s">
        <v>21</v>
      </c>
      <c r="D3" s="28"/>
      <c r="E3" s="28"/>
    </row>
    <row r="4" spans="1:5" x14ac:dyDescent="0.2">
      <c r="A4" s="166" t="s">
        <v>42</v>
      </c>
      <c r="B4" s="167"/>
      <c r="C4" s="20" t="s">
        <v>20</v>
      </c>
      <c r="D4" s="28"/>
      <c r="E4" s="28"/>
    </row>
    <row r="5" spans="1:5" x14ac:dyDescent="0.2">
      <c r="A5" s="161" t="s">
        <v>27</v>
      </c>
      <c r="B5" s="162"/>
      <c r="C5" s="163">
        <v>0.11559999999999999</v>
      </c>
      <c r="D5" s="28"/>
      <c r="E5" s="28"/>
    </row>
    <row r="6" spans="1:5" x14ac:dyDescent="0.2">
      <c r="A6" s="10"/>
      <c r="B6" s="168" t="s">
        <v>28</v>
      </c>
      <c r="C6" s="164"/>
      <c r="D6" s="28"/>
      <c r="E6" s="28"/>
    </row>
    <row r="7" spans="1:5" x14ac:dyDescent="0.2">
      <c r="A7" s="11"/>
      <c r="B7" s="169"/>
      <c r="C7" s="165"/>
      <c r="D7" s="28"/>
      <c r="E7" s="28"/>
    </row>
    <row r="8" spans="1:5" x14ac:dyDescent="0.2">
      <c r="A8" s="161" t="s">
        <v>26</v>
      </c>
      <c r="B8" s="162"/>
      <c r="C8" s="163">
        <v>0.12039999999999999</v>
      </c>
      <c r="D8" s="28"/>
      <c r="E8" s="28"/>
    </row>
    <row r="9" spans="1:5" x14ac:dyDescent="0.2">
      <c r="A9" s="10"/>
      <c r="B9" s="2" t="s">
        <v>2</v>
      </c>
      <c r="C9" s="164"/>
      <c r="D9" s="28"/>
      <c r="E9" s="28"/>
    </row>
    <row r="10" spans="1:5" x14ac:dyDescent="0.2">
      <c r="A10" s="10"/>
      <c r="B10" s="2" t="s">
        <v>66</v>
      </c>
      <c r="C10" s="164"/>
      <c r="D10" s="28"/>
      <c r="E10" s="28"/>
    </row>
    <row r="11" spans="1:5" x14ac:dyDescent="0.2">
      <c r="A11" s="10"/>
      <c r="B11" s="2" t="s">
        <v>3</v>
      </c>
      <c r="C11" s="164"/>
      <c r="D11" s="28"/>
      <c r="E11" s="28"/>
    </row>
    <row r="12" spans="1:5" x14ac:dyDescent="0.2">
      <c r="A12" s="10"/>
      <c r="B12" s="2" t="s">
        <v>4</v>
      </c>
      <c r="C12" s="164"/>
      <c r="D12" s="28"/>
      <c r="E12" s="28"/>
    </row>
    <row r="13" spans="1:5" x14ac:dyDescent="0.2">
      <c r="A13" s="10"/>
      <c r="B13" s="2" t="s">
        <v>6</v>
      </c>
      <c r="C13" s="164"/>
      <c r="D13" s="28"/>
      <c r="E13" s="28"/>
    </row>
    <row r="14" spans="1:5" x14ac:dyDescent="0.2">
      <c r="A14" s="10"/>
      <c r="B14" s="2" t="s">
        <v>5</v>
      </c>
      <c r="C14" s="164"/>
      <c r="D14" s="28"/>
      <c r="E14" s="28"/>
    </row>
    <row r="15" spans="1:5" x14ac:dyDescent="0.2">
      <c r="A15" s="10"/>
      <c r="B15" s="2" t="s">
        <v>7</v>
      </c>
      <c r="C15" s="164"/>
      <c r="D15" s="28"/>
      <c r="E15" s="28"/>
    </row>
    <row r="16" spans="1:5" x14ac:dyDescent="0.2">
      <c r="A16" s="10"/>
      <c r="B16" s="2" t="s">
        <v>8</v>
      </c>
      <c r="C16" s="164"/>
      <c r="D16" s="28"/>
      <c r="E16" s="28"/>
    </row>
    <row r="17" spans="1:5" x14ac:dyDescent="0.2">
      <c r="A17" s="10"/>
      <c r="B17" s="2" t="s">
        <v>25</v>
      </c>
      <c r="C17" s="164"/>
      <c r="D17" s="28"/>
      <c r="E17" s="28"/>
    </row>
    <row r="18" spans="1:5" ht="11.25" customHeight="1" x14ac:dyDescent="0.2">
      <c r="A18" s="11"/>
      <c r="B18" s="12"/>
      <c r="C18" s="165"/>
      <c r="D18" s="28"/>
      <c r="E18" s="28"/>
    </row>
    <row r="19" spans="1:5" x14ac:dyDescent="0.2">
      <c r="A19" s="156" t="s">
        <v>76</v>
      </c>
      <c r="B19" s="157"/>
      <c r="C19" s="41">
        <f>SUM(C5:C18)</f>
        <v>0.23599999999999999</v>
      </c>
      <c r="D19" s="28"/>
      <c r="E19" s="28"/>
    </row>
    <row r="20" spans="1:5" x14ac:dyDescent="0.2">
      <c r="A20" s="28"/>
      <c r="B20" s="28"/>
      <c r="C20" s="28"/>
      <c r="D20" s="28"/>
      <c r="E20" s="28"/>
    </row>
    <row r="21" spans="1:5" x14ac:dyDescent="0.2">
      <c r="A21" s="1" t="s">
        <v>41</v>
      </c>
      <c r="C21" s="28"/>
      <c r="D21" s="28"/>
      <c r="E21" s="28"/>
    </row>
    <row r="22" spans="1:5" x14ac:dyDescent="0.2">
      <c r="A22" s="28"/>
      <c r="B22" s="28"/>
      <c r="C22" s="28"/>
      <c r="D22" s="28"/>
      <c r="E22" s="28"/>
    </row>
    <row r="23" spans="1:5" x14ac:dyDescent="0.2">
      <c r="A23" s="28"/>
      <c r="B23" s="28"/>
      <c r="C23" s="28"/>
      <c r="D23" s="28"/>
      <c r="E23" s="28"/>
    </row>
  </sheetData>
  <sheetProtection algorithmName="SHA-512" hashValue="uGrKw9BHy5s3uLly7AF7Be3PrkTN9aZULePiZREDgt7ci7JADmrczWJUKZAaKTdGiwcdOgfVR5I7fnlynh7/Ag==" saltValue="ca/jQr8OxzDc98hf3+evDQ==" spinCount="100000" sheet="1" objects="1" scenarios="1"/>
  <mergeCells count="7">
    <mergeCell ref="A19:B19"/>
    <mergeCell ref="A8:B8"/>
    <mergeCell ref="C8:C18"/>
    <mergeCell ref="A4:B4"/>
    <mergeCell ref="A5:B5"/>
    <mergeCell ref="C5:C7"/>
    <mergeCell ref="B6:B7"/>
  </mergeCells>
  <phoneticPr fontId="2" type="noConversion"/>
  <dataValidations count="3">
    <dataValidation allowBlank="1" showInputMessage="1" showErrorMessage="1" prompt="Taxes and Workers Comp Percentage" sqref="C5:C7" xr:uid="{00000000-0002-0000-0200-000000000000}"/>
    <dataValidation allowBlank="1" showInputMessage="1" showErrorMessage="1" prompt="Other Benefits Percentage" sqref="C8:C18" xr:uid="{00000000-0002-0000-0200-000001000000}"/>
    <dataValidation allowBlank="1" showInputMessage="1" showErrorMessage="1" prompt="Employee Related Expense Percentage formula is equal to Taxes and Workers Comp Percentage plus Other Benefits Percentage" sqref="C19" xr:uid="{00000000-0002-0000-02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1"/>
  <sheetViews>
    <sheetView zoomScale="125" workbookViewId="0">
      <selection activeCell="C6" sqref="C6"/>
    </sheetView>
  </sheetViews>
  <sheetFormatPr defaultColWidth="9.140625" defaultRowHeight="12.75" x14ac:dyDescent="0.2"/>
  <cols>
    <col min="1" max="1" width="40.85546875" style="1" customWidth="1"/>
    <col min="2" max="2" width="20.42578125" style="1" customWidth="1"/>
    <col min="3" max="3" width="18.140625" style="1" customWidth="1"/>
    <col min="4" max="7" width="9.140625" style="1"/>
    <col min="8" max="8" width="0" style="1" hidden="1" customWidth="1"/>
    <col min="9" max="16384" width="9.140625" style="1"/>
  </cols>
  <sheetData>
    <row r="1" spans="1:8" ht="15" x14ac:dyDescent="0.2">
      <c r="A1" s="22" t="s">
        <v>34</v>
      </c>
      <c r="B1" s="22"/>
      <c r="C1" s="28"/>
      <c r="D1" s="28"/>
      <c r="E1" s="28"/>
    </row>
    <row r="2" spans="1:8" x14ac:dyDescent="0.2">
      <c r="A2" s="28"/>
      <c r="B2" s="28"/>
      <c r="C2" s="28"/>
      <c r="D2" s="28"/>
      <c r="E2" s="28"/>
    </row>
    <row r="3" spans="1:8" x14ac:dyDescent="0.2">
      <c r="A3" s="5" t="s">
        <v>43</v>
      </c>
      <c r="C3" s="28"/>
      <c r="D3" s="28"/>
      <c r="E3" s="28"/>
    </row>
    <row r="4" spans="1:8" x14ac:dyDescent="0.2">
      <c r="A4" s="166" t="s">
        <v>19</v>
      </c>
      <c r="B4" s="167"/>
      <c r="C4" s="20" t="s">
        <v>36</v>
      </c>
      <c r="D4" s="28"/>
      <c r="E4" s="28"/>
    </row>
    <row r="5" spans="1:8" ht="126.75" customHeight="1" x14ac:dyDescent="0.2">
      <c r="A5" s="172" t="s">
        <v>98</v>
      </c>
      <c r="B5" s="171"/>
      <c r="C5" s="128">
        <v>0.13</v>
      </c>
      <c r="D5" s="28"/>
      <c r="E5" s="28"/>
    </row>
    <row r="6" spans="1:8" x14ac:dyDescent="0.2">
      <c r="A6" s="28"/>
      <c r="B6" s="28"/>
      <c r="C6" s="28"/>
      <c r="D6" s="28"/>
      <c r="E6" s="28"/>
    </row>
    <row r="7" spans="1:8" x14ac:dyDescent="0.2">
      <c r="A7" s="5" t="s">
        <v>68</v>
      </c>
      <c r="C7" s="28"/>
      <c r="D7" s="28"/>
      <c r="E7" s="28"/>
    </row>
    <row r="8" spans="1:8" x14ac:dyDescent="0.2">
      <c r="A8" s="166" t="s">
        <v>50</v>
      </c>
      <c r="B8" s="167"/>
      <c r="C8" s="20" t="s">
        <v>49</v>
      </c>
      <c r="D8" s="28"/>
      <c r="E8" s="28"/>
    </row>
    <row r="9" spans="1:8" x14ac:dyDescent="0.2">
      <c r="A9" s="170" t="s">
        <v>51</v>
      </c>
      <c r="B9" s="171"/>
      <c r="C9" s="128">
        <f>C5</f>
        <v>0.13</v>
      </c>
      <c r="D9" s="28"/>
      <c r="E9" s="28"/>
      <c r="H9" s="136">
        <f>SUM(10.9%*15.39%)+10.9%</f>
        <v>0.1257751</v>
      </c>
    </row>
    <row r="10" spans="1:8" x14ac:dyDescent="0.2">
      <c r="A10" s="28"/>
      <c r="B10" s="28"/>
      <c r="C10" s="28"/>
      <c r="D10" s="28"/>
      <c r="E10" s="28"/>
    </row>
    <row r="11" spans="1:8" x14ac:dyDescent="0.2">
      <c r="A11" s="28"/>
      <c r="B11" s="28"/>
      <c r="C11" s="28"/>
      <c r="D11" s="28"/>
      <c r="E11" s="28"/>
    </row>
  </sheetData>
  <sheetProtection algorithmName="SHA-512" hashValue="FG/pCSmBxVPh57ZgVdQYgWq0RSrN1AQXMi/ouf8FinQZh/XsDJqUvzIW9On2MxIfEKFDDRJtf7H0leS4226ZLQ==" saltValue="aNGkhwUBkljlIjlAuDuBow==" spinCount="100000" sheet="1" objects="1" scenarios="1"/>
  <mergeCells count="4">
    <mergeCell ref="A8:B8"/>
    <mergeCell ref="A9:B9"/>
    <mergeCell ref="A4:B4"/>
    <mergeCell ref="A5:B5"/>
  </mergeCells>
  <phoneticPr fontId="2" type="noConversion"/>
  <dataValidations count="2">
    <dataValidation allowBlank="1" showInputMessage="1" showErrorMessage="1" prompt="Standard Client Programming and Supports Percentage" sqref="C5" xr:uid="{00000000-0002-0000-0300-000000000000}"/>
    <dataValidation allowBlank="1" showInputMessage="1" showErrorMessage="1" prompt="Client Programming and Supports Percentage formula is equal to Standard Client Programming and Supports Percentage" sqref="C9" xr:uid="{00000000-0002-0000-0300-000001000000}"/>
  </dataValidations>
  <pageMargins left="0.75" right="0.75" top="1.37" bottom="1" header="0.5" footer="0.5"/>
  <pageSetup scale="90" orientation="portrait" r:id="rId1"/>
  <headerFooter alignWithMargins="0">
    <oddHeader>&amp;C&amp;G</oddHeader>
    <oddFooter>&amp;LDWRS Draft framework for Adult Day Care Services -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7"/>
  <sheetViews>
    <sheetView zoomScale="125" workbookViewId="0">
      <selection activeCell="B5" sqref="B5"/>
    </sheetView>
  </sheetViews>
  <sheetFormatPr defaultColWidth="9.140625" defaultRowHeight="12.75" x14ac:dyDescent="0.2"/>
  <cols>
    <col min="1" max="1" width="10.7109375" style="1" customWidth="1"/>
    <col min="2" max="2" width="15.5703125" style="1" customWidth="1"/>
    <col min="3" max="3" width="15.7109375" style="1" customWidth="1"/>
    <col min="4" max="6" width="9.140625" style="1"/>
    <col min="7" max="7" width="0" style="1" hidden="1" customWidth="1"/>
    <col min="8" max="16384" width="9.140625" style="1"/>
  </cols>
  <sheetData>
    <row r="1" spans="1:7" ht="15" x14ac:dyDescent="0.2">
      <c r="A1" s="22" t="s">
        <v>46</v>
      </c>
      <c r="B1" s="22"/>
      <c r="C1" s="22"/>
      <c r="D1" s="28"/>
      <c r="E1" s="28"/>
      <c r="F1" s="28"/>
    </row>
    <row r="2" spans="1:7" x14ac:dyDescent="0.2">
      <c r="A2" s="28"/>
      <c r="B2" s="28"/>
      <c r="C2" s="28"/>
      <c r="D2" s="28"/>
      <c r="E2" s="28"/>
      <c r="F2" s="28"/>
    </row>
    <row r="3" spans="1:7" ht="13.5" thickBot="1" x14ac:dyDescent="0.25">
      <c r="A3" s="5" t="s">
        <v>52</v>
      </c>
      <c r="E3" s="28"/>
      <c r="F3" s="28"/>
    </row>
    <row r="4" spans="1:7" ht="25.5" x14ac:dyDescent="0.2">
      <c r="A4" s="25" t="s">
        <v>53</v>
      </c>
      <c r="B4" s="56" t="s">
        <v>89</v>
      </c>
      <c r="C4" s="56" t="s">
        <v>90</v>
      </c>
      <c r="D4" s="28"/>
      <c r="E4" s="28"/>
      <c r="F4" s="28"/>
    </row>
    <row r="5" spans="1:7" x14ac:dyDescent="0.2">
      <c r="A5" s="26" t="str">
        <f>'Direct Staffing'!B10</f>
        <v>1:1</v>
      </c>
      <c r="B5" s="140">
        <f>24.28/5</f>
        <v>4.8559999999999999</v>
      </c>
      <c r="C5" s="27">
        <f>((1+1/(VLOOKUP(A5,'Direct Staffing'!H7:K16,2,FALSE)))*B5)</f>
        <v>9.7119999999999997</v>
      </c>
      <c r="D5" s="28"/>
      <c r="E5" s="28"/>
      <c r="F5" s="28"/>
      <c r="G5" s="137">
        <f>SUM(21.04*15.39%)+21.04</f>
        <v>24.278055999999999</v>
      </c>
    </row>
    <row r="6" spans="1:7" x14ac:dyDescent="0.2">
      <c r="A6" s="28"/>
      <c r="B6" s="28"/>
      <c r="C6" s="28"/>
      <c r="D6" s="28"/>
      <c r="E6" s="28"/>
      <c r="F6" s="28"/>
    </row>
    <row r="7" spans="1:7" x14ac:dyDescent="0.2">
      <c r="A7" s="28"/>
      <c r="B7" s="28"/>
      <c r="C7" s="28"/>
      <c r="D7" s="28"/>
      <c r="E7" s="28"/>
      <c r="F7" s="28"/>
    </row>
  </sheetData>
  <sheetProtection algorithmName="SHA-512" hashValue="e6J87K+bnhJg8RzPIBM2jYH+n5DvXpHa9zqIg8Ebwh4dJpCMFXjVDxgbKxYpFXBjUvW++734tebXhxbM3zvKEQ==" saltValue="lALWqzy9D1NDzk0+rBp1qw==" spinCount="100000" sheet="1" objects="1" scenarios="1"/>
  <phoneticPr fontId="2" type="noConversion"/>
  <dataValidations count="3">
    <dataValidation allowBlank="1" showInputMessage="1" showErrorMessage="1" prompt="Staffing Ratio formula is equal to Direct Staff Staffing Ratio from Direct Staffing Sheet" sqref="A5" xr:uid="{00000000-0002-0000-0400-000000000000}"/>
    <dataValidation allowBlank="1" showInputMessage="1" showErrorMessage="1" prompt="Rate per Person per Day formula is $24.28 divided by five" sqref="B5" xr:uid="{00000000-0002-0000-0400-000001000000}"/>
    <dataValidation allowBlank="1" showInputMessage="1" showErrorMessage="1" prompt="Daily Facility Cost formula is equal to Ratio Factor times Rate per Person per Day" sqref="C5" xr:uid="{00000000-0002-0000-04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2"/>
  <sheetViews>
    <sheetView zoomScale="125" workbookViewId="0">
      <selection activeCell="E6" sqref="E6"/>
    </sheetView>
  </sheetViews>
  <sheetFormatPr defaultColWidth="9.140625" defaultRowHeight="12.75" x14ac:dyDescent="0.2"/>
  <cols>
    <col min="1" max="1" width="9.140625" style="1"/>
    <col min="2" max="2" width="24.7109375" style="1" customWidth="1"/>
    <col min="3" max="3" width="10.140625" style="1" bestFit="1" customWidth="1"/>
    <col min="4" max="4" width="9.140625" style="1"/>
    <col min="5" max="6" width="11.28515625" style="1" customWidth="1"/>
    <col min="7" max="16384" width="9.140625" style="1"/>
  </cols>
  <sheetData>
    <row r="1" spans="1:7" ht="15" x14ac:dyDescent="0.2">
      <c r="A1" s="22" t="s">
        <v>69</v>
      </c>
      <c r="B1" s="22"/>
      <c r="C1" s="22"/>
      <c r="D1" s="28"/>
      <c r="E1" s="28"/>
      <c r="F1" s="28"/>
      <c r="G1" s="28"/>
    </row>
    <row r="2" spans="1:7" x14ac:dyDescent="0.2">
      <c r="A2" s="28"/>
      <c r="B2" s="28"/>
      <c r="C2" s="28"/>
      <c r="D2" s="28"/>
      <c r="E2" s="28"/>
      <c r="F2" s="28"/>
      <c r="G2" s="28"/>
    </row>
    <row r="3" spans="1:7" x14ac:dyDescent="0.2">
      <c r="A3" s="91" t="s">
        <v>70</v>
      </c>
      <c r="B3" s="91"/>
      <c r="C3" s="91"/>
      <c r="D3" s="91"/>
      <c r="E3" s="91"/>
      <c r="F3" s="91"/>
      <c r="G3" s="28"/>
    </row>
    <row r="4" spans="1:7" x14ac:dyDescent="0.2">
      <c r="A4" s="177" t="s">
        <v>10</v>
      </c>
      <c r="B4" s="177"/>
      <c r="C4" s="177"/>
      <c r="D4" s="177"/>
      <c r="E4" s="21" t="s">
        <v>22</v>
      </c>
      <c r="F4" s="28"/>
      <c r="G4" s="28"/>
    </row>
    <row r="5" spans="1:7" ht="12" customHeight="1" x14ac:dyDescent="0.2">
      <c r="A5" s="178" t="s">
        <v>64</v>
      </c>
      <c r="B5" s="178"/>
      <c r="C5" s="178"/>
      <c r="D5" s="178"/>
      <c r="E5" s="42">
        <v>0.13250000000000001</v>
      </c>
      <c r="F5" s="28"/>
      <c r="G5" s="28"/>
    </row>
    <row r="6" spans="1:7" x14ac:dyDescent="0.2">
      <c r="A6" s="178" t="s">
        <v>65</v>
      </c>
      <c r="B6" s="178"/>
      <c r="C6" s="178"/>
      <c r="D6" s="178"/>
      <c r="E6" s="42">
        <v>1.7999999999999999E-2</v>
      </c>
      <c r="F6" s="28"/>
      <c r="G6" s="28"/>
    </row>
    <row r="7" spans="1:7" x14ac:dyDescent="0.2">
      <c r="A7" s="173" t="s">
        <v>71</v>
      </c>
      <c r="B7" s="174"/>
      <c r="C7" s="174"/>
      <c r="D7" s="175"/>
      <c r="E7" s="42">
        <v>9.4E-2</v>
      </c>
      <c r="F7" s="28"/>
      <c r="G7" s="28"/>
    </row>
    <row r="8" spans="1:7" x14ac:dyDescent="0.2">
      <c r="A8" s="176" t="s">
        <v>72</v>
      </c>
      <c r="B8" s="176"/>
      <c r="C8" s="176"/>
      <c r="D8" s="176"/>
      <c r="E8" s="41">
        <f>SUM(E5:E7)</f>
        <v>0.2445</v>
      </c>
      <c r="F8" s="28"/>
      <c r="G8" s="28"/>
    </row>
    <row r="9" spans="1:7" x14ac:dyDescent="0.2">
      <c r="A9" s="28"/>
      <c r="B9" s="28"/>
      <c r="C9" s="28"/>
      <c r="D9" s="28"/>
      <c r="E9" s="28"/>
      <c r="F9" s="28"/>
      <c r="G9" s="28"/>
    </row>
    <row r="10" spans="1:7" x14ac:dyDescent="0.2">
      <c r="C10" s="28"/>
      <c r="D10" s="28"/>
      <c r="E10" s="28"/>
      <c r="F10" s="28"/>
      <c r="G10" s="28"/>
    </row>
    <row r="11" spans="1:7" x14ac:dyDescent="0.2">
      <c r="A11" s="28"/>
      <c r="B11" s="28"/>
      <c r="C11" s="28"/>
      <c r="D11" s="28"/>
      <c r="E11" s="28"/>
      <c r="F11" s="28"/>
      <c r="G11" s="28"/>
    </row>
    <row r="12" spans="1:7" x14ac:dyDescent="0.2">
      <c r="A12" s="28"/>
      <c r="B12" s="28"/>
      <c r="C12" s="28"/>
      <c r="D12" s="28"/>
      <c r="E12" s="28"/>
      <c r="F12" s="28"/>
      <c r="G12" s="28"/>
    </row>
  </sheetData>
  <sheetProtection algorithmName="SHA-512" hashValue="eP4G/PjciCOre4Kn/tTOzn4DHq7j9i55q13QtEgMJyLHgf2yLhaBAsy1q9aHoSyhoF8nvUauEGAKABASQD7nEA==" saltValue="XGlXt3Ge4BIYBW2jmlnINw==" spinCount="100000" sheet="1" objects="1" scenarios="1"/>
  <mergeCells count="5">
    <mergeCell ref="A7:D7"/>
    <mergeCell ref="A8:D8"/>
    <mergeCell ref="A4:D4"/>
    <mergeCell ref="A5:D5"/>
    <mergeCell ref="A6:D6"/>
  </mergeCells>
  <phoneticPr fontId="2" type="noConversion"/>
  <dataValidations count="4">
    <dataValidation allowBlank="1" showInputMessage="1" showErrorMessage="1" prompt="Standard General and Administrative Support Percentage" sqref="E5" xr:uid="{00000000-0002-0000-0500-000000000000}"/>
    <dataValidation allowBlank="1" showInputMessage="1" showErrorMessage="1" prompt="Program General and Administrative Percentage" sqref="E6" xr:uid="{00000000-0002-0000-0500-000001000000}"/>
    <dataValidation allowBlank="1" showInputMessage="1" showErrorMessage="1" prompt="Utilization Factor Percentage" sqref="E7" xr:uid="{00000000-0002-0000-0500-000002000000}"/>
    <dataValidation allowBlank="1" showInputMessage="1" showErrorMessage="1" prompt="Program Related Expenses Percentage formula is Standard General and Administrative Percentage plus Program General and Administrative Percentage plus Utilization Factor Percentage" sqref="E8" xr:uid="{00000000-0002-0000-0500-000003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F108"/>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 min="6" max="6" width="5.5703125" style="95" bestFit="1" customWidth="1"/>
  </cols>
  <sheetData>
    <row r="3" spans="1:6" x14ac:dyDescent="0.2">
      <c r="A3" s="5" t="s">
        <v>119</v>
      </c>
      <c r="B3" s="60"/>
      <c r="C3" s="60"/>
      <c r="D3" s="60"/>
    </row>
    <row r="4" spans="1:6" x14ac:dyDescent="0.2">
      <c r="A4" s="48" t="s">
        <v>120</v>
      </c>
      <c r="B4" s="179" t="s">
        <v>121</v>
      </c>
      <c r="C4" s="180"/>
      <c r="D4" s="181"/>
    </row>
    <row r="5" spans="1:6" x14ac:dyDescent="0.2">
      <c r="A5" s="48" t="s">
        <v>122</v>
      </c>
      <c r="B5" s="182" t="str">
        <f>INDEX($C$10:$C$108,MATCH(B4:D4,B10:B108,0))</f>
        <v>Unspecified Region</v>
      </c>
      <c r="C5" s="183"/>
      <c r="D5" s="184"/>
    </row>
    <row r="7" spans="1:6" hidden="1" x14ac:dyDescent="0.2">
      <c r="A7" t="s">
        <v>123</v>
      </c>
      <c r="B7" t="str">
        <f>INDEX($D$10:$D$108,MATCH(B4:D4,B10:B108,0))</f>
        <v>-</v>
      </c>
    </row>
    <row r="8" spans="1:6" hidden="1" x14ac:dyDescent="0.2"/>
    <row r="9" spans="1:6" ht="15" hidden="1" x14ac:dyDescent="0.2">
      <c r="B9" s="96" t="s">
        <v>124</v>
      </c>
      <c r="C9" s="96" t="s">
        <v>125</v>
      </c>
      <c r="D9" s="97" t="s">
        <v>123</v>
      </c>
      <c r="F9"/>
    </row>
    <row r="10" spans="1:6" ht="15" hidden="1" x14ac:dyDescent="0.2">
      <c r="B10" s="98" t="s">
        <v>121</v>
      </c>
      <c r="C10" s="98" t="s">
        <v>126</v>
      </c>
      <c r="D10" s="99" t="s">
        <v>127</v>
      </c>
      <c r="F10"/>
    </row>
    <row r="11" spans="1:6" ht="15" hidden="1" x14ac:dyDescent="0.2">
      <c r="B11" s="100" t="s">
        <v>128</v>
      </c>
      <c r="C11" s="100" t="s">
        <v>129</v>
      </c>
      <c r="D11" s="132">
        <v>0.99</v>
      </c>
      <c r="F11"/>
    </row>
    <row r="12" spans="1:6" ht="15" hidden="1" x14ac:dyDescent="0.2">
      <c r="B12" s="100" t="s">
        <v>130</v>
      </c>
      <c r="C12" s="100" t="s">
        <v>131</v>
      </c>
      <c r="D12" s="132">
        <v>1.004</v>
      </c>
      <c r="F12"/>
    </row>
    <row r="13" spans="1:6" ht="15" hidden="1" x14ac:dyDescent="0.2">
      <c r="B13" s="100" t="s">
        <v>132</v>
      </c>
      <c r="C13" s="100" t="s">
        <v>133</v>
      </c>
      <c r="D13" s="132">
        <v>0.96699999999999997</v>
      </c>
      <c r="F13"/>
    </row>
    <row r="14" spans="1:6" ht="15" hidden="1" x14ac:dyDescent="0.2">
      <c r="B14" s="100" t="s">
        <v>134</v>
      </c>
      <c r="C14" s="100" t="s">
        <v>133</v>
      </c>
      <c r="D14" s="132">
        <v>0.96699999999999997</v>
      </c>
      <c r="F14"/>
    </row>
    <row r="15" spans="1:6" ht="15" hidden="1" x14ac:dyDescent="0.2">
      <c r="B15" s="100" t="s">
        <v>135</v>
      </c>
      <c r="C15" s="100" t="s">
        <v>136</v>
      </c>
      <c r="D15" s="132">
        <v>1.0169999999999999</v>
      </c>
      <c r="F15"/>
    </row>
    <row r="16" spans="1:6" ht="15" hidden="1" x14ac:dyDescent="0.2">
      <c r="B16" s="100" t="s">
        <v>137</v>
      </c>
      <c r="C16" s="101" t="s">
        <v>138</v>
      </c>
      <c r="D16" s="132">
        <v>0.98599999999999999</v>
      </c>
      <c r="F16"/>
    </row>
    <row r="17" spans="2:6" ht="15" hidden="1" x14ac:dyDescent="0.2">
      <c r="B17" s="100" t="s">
        <v>139</v>
      </c>
      <c r="C17" s="100" t="s">
        <v>140</v>
      </c>
      <c r="D17" s="132">
        <v>1.022</v>
      </c>
      <c r="F17"/>
    </row>
    <row r="18" spans="2:6" ht="15" hidden="1" x14ac:dyDescent="0.2">
      <c r="B18" s="100" t="s">
        <v>141</v>
      </c>
      <c r="C18" s="101" t="s">
        <v>142</v>
      </c>
      <c r="D18" s="132">
        <v>1.0269999999999999</v>
      </c>
      <c r="F18"/>
    </row>
    <row r="19" spans="2:6" ht="15" hidden="1" x14ac:dyDescent="0.2">
      <c r="B19" s="100" t="s">
        <v>143</v>
      </c>
      <c r="C19" s="101" t="s">
        <v>144</v>
      </c>
      <c r="D19" s="132">
        <v>0.96499999999999997</v>
      </c>
      <c r="F19"/>
    </row>
    <row r="20" spans="2:6" ht="15" hidden="1" x14ac:dyDescent="0.2">
      <c r="B20" s="100" t="s">
        <v>145</v>
      </c>
      <c r="C20" s="100" t="s">
        <v>131</v>
      </c>
      <c r="D20" s="132">
        <v>1.004</v>
      </c>
      <c r="F20"/>
    </row>
    <row r="21" spans="2:6" ht="15" hidden="1" x14ac:dyDescent="0.2">
      <c r="B21" s="100" t="s">
        <v>146</v>
      </c>
      <c r="C21" s="100" t="s">
        <v>133</v>
      </c>
      <c r="D21" s="132">
        <v>0.96699999999999997</v>
      </c>
      <c r="F21"/>
    </row>
    <row r="22" spans="2:6" ht="15" hidden="1" x14ac:dyDescent="0.2">
      <c r="B22" s="100" t="s">
        <v>147</v>
      </c>
      <c r="C22" s="101" t="s">
        <v>138</v>
      </c>
      <c r="D22" s="132">
        <v>0.98599999999999999</v>
      </c>
      <c r="F22"/>
    </row>
    <row r="23" spans="2:6" ht="15" hidden="1" x14ac:dyDescent="0.2">
      <c r="B23" s="100" t="s">
        <v>148</v>
      </c>
      <c r="C23" s="101" t="s">
        <v>131</v>
      </c>
      <c r="D23" s="132">
        <v>1.004</v>
      </c>
      <c r="F23"/>
    </row>
    <row r="24" spans="2:6" ht="15" hidden="1" x14ac:dyDescent="0.2">
      <c r="B24" s="100" t="s">
        <v>149</v>
      </c>
      <c r="C24" s="101" t="s">
        <v>150</v>
      </c>
      <c r="D24" s="132">
        <v>1.004</v>
      </c>
      <c r="F24"/>
    </row>
    <row r="25" spans="2:6" ht="15" hidden="1" x14ac:dyDescent="0.2">
      <c r="B25" s="100" t="s">
        <v>151</v>
      </c>
      <c r="C25" s="100" t="s">
        <v>133</v>
      </c>
      <c r="D25" s="132">
        <v>0.96699999999999997</v>
      </c>
      <c r="F25"/>
    </row>
    <row r="26" spans="2:6" ht="15" hidden="1" x14ac:dyDescent="0.2">
      <c r="B26" s="100" t="s">
        <v>152</v>
      </c>
      <c r="C26" s="101" t="s">
        <v>129</v>
      </c>
      <c r="D26" s="132">
        <v>0.99</v>
      </c>
      <c r="F26"/>
    </row>
    <row r="27" spans="2:6" ht="15" hidden="1" x14ac:dyDescent="0.2">
      <c r="B27" s="100" t="s">
        <v>153</v>
      </c>
      <c r="C27" s="101" t="s">
        <v>138</v>
      </c>
      <c r="D27" s="132">
        <v>0.98599999999999999</v>
      </c>
      <c r="F27"/>
    </row>
    <row r="28" spans="2:6" ht="15" hidden="1" x14ac:dyDescent="0.2">
      <c r="B28" s="100" t="s">
        <v>154</v>
      </c>
      <c r="C28" s="100" t="s">
        <v>133</v>
      </c>
      <c r="D28" s="132">
        <v>0.96699999999999997</v>
      </c>
      <c r="F28"/>
    </row>
    <row r="29" spans="2:6" ht="15" hidden="1" x14ac:dyDescent="0.2">
      <c r="B29" s="100" t="s">
        <v>155</v>
      </c>
      <c r="C29" s="100" t="s">
        <v>131</v>
      </c>
      <c r="D29" s="132">
        <v>1.004</v>
      </c>
      <c r="F29"/>
    </row>
    <row r="30" spans="2:6" ht="15" hidden="1" x14ac:dyDescent="0.2">
      <c r="B30" s="100" t="s">
        <v>156</v>
      </c>
      <c r="C30" s="101" t="s">
        <v>157</v>
      </c>
      <c r="D30" s="132">
        <v>1.0029999999999999</v>
      </c>
      <c r="F30"/>
    </row>
    <row r="31" spans="2:6" ht="15" hidden="1" x14ac:dyDescent="0.2">
      <c r="B31" s="100" t="s">
        <v>158</v>
      </c>
      <c r="C31" s="100" t="s">
        <v>133</v>
      </c>
      <c r="D31" s="132">
        <v>0.96699999999999997</v>
      </c>
      <c r="F31"/>
    </row>
    <row r="32" spans="2:6" ht="15" hidden="1" x14ac:dyDescent="0.2">
      <c r="B32" s="100" t="s">
        <v>159</v>
      </c>
      <c r="C32" s="101" t="s">
        <v>142</v>
      </c>
      <c r="D32" s="132">
        <v>1.0269999999999999</v>
      </c>
      <c r="F32"/>
    </row>
    <row r="33" spans="2:6" ht="15" hidden="1" x14ac:dyDescent="0.2">
      <c r="B33" s="100" t="s">
        <v>160</v>
      </c>
      <c r="C33" s="101" t="s">
        <v>157</v>
      </c>
      <c r="D33" s="132">
        <v>1.0029999999999999</v>
      </c>
      <c r="F33"/>
    </row>
    <row r="34" spans="2:6" ht="15" hidden="1" x14ac:dyDescent="0.2">
      <c r="B34" s="100" t="s">
        <v>161</v>
      </c>
      <c r="C34" s="101" t="s">
        <v>142</v>
      </c>
      <c r="D34" s="132">
        <v>1.0269999999999999</v>
      </c>
      <c r="F34"/>
    </row>
    <row r="35" spans="2:6" ht="15" hidden="1" x14ac:dyDescent="0.2">
      <c r="B35" s="100" t="s">
        <v>162</v>
      </c>
      <c r="C35" s="101" t="s">
        <v>142</v>
      </c>
      <c r="D35" s="132">
        <v>1.0269999999999999</v>
      </c>
      <c r="F35"/>
    </row>
    <row r="36" spans="2:6" ht="15" hidden="1" x14ac:dyDescent="0.2">
      <c r="B36" s="100" t="s">
        <v>163</v>
      </c>
      <c r="C36" s="100" t="s">
        <v>133</v>
      </c>
      <c r="D36" s="132">
        <v>0.96699999999999997</v>
      </c>
      <c r="F36"/>
    </row>
    <row r="37" spans="2:6" ht="15" hidden="1" x14ac:dyDescent="0.2">
      <c r="B37" s="100" t="s">
        <v>164</v>
      </c>
      <c r="C37" s="100" t="s">
        <v>131</v>
      </c>
      <c r="D37" s="132">
        <v>1.004</v>
      </c>
      <c r="F37"/>
    </row>
    <row r="38" spans="2:6" ht="15" hidden="1" x14ac:dyDescent="0.2">
      <c r="B38" s="100" t="s">
        <v>165</v>
      </c>
      <c r="C38" s="101" t="s">
        <v>166</v>
      </c>
      <c r="D38" s="132">
        <v>1.0149999999999999</v>
      </c>
      <c r="F38"/>
    </row>
    <row r="39" spans="2:6" ht="15" hidden="1" x14ac:dyDescent="0.2">
      <c r="B39" s="100" t="s">
        <v>167</v>
      </c>
      <c r="C39" s="100" t="s">
        <v>133</v>
      </c>
      <c r="D39" s="132">
        <v>0.96699999999999997</v>
      </c>
      <c r="F39"/>
    </row>
    <row r="40" spans="2:6" ht="15" hidden="1" x14ac:dyDescent="0.2">
      <c r="B40" s="100" t="s">
        <v>168</v>
      </c>
      <c r="C40" s="101" t="s">
        <v>131</v>
      </c>
      <c r="D40" s="132">
        <v>1.004</v>
      </c>
      <c r="F40"/>
    </row>
    <row r="41" spans="2:6" ht="15" hidden="1" x14ac:dyDescent="0.2">
      <c r="B41" s="100" t="s">
        <v>169</v>
      </c>
      <c r="C41" s="101" t="s">
        <v>129</v>
      </c>
      <c r="D41" s="132">
        <v>0.99</v>
      </c>
      <c r="F41"/>
    </row>
    <row r="42" spans="2:6" ht="15" hidden="1" x14ac:dyDescent="0.2">
      <c r="B42" s="100" t="s">
        <v>170</v>
      </c>
      <c r="C42" s="101" t="s">
        <v>138</v>
      </c>
      <c r="D42" s="132">
        <v>0.98599999999999999</v>
      </c>
      <c r="F42"/>
    </row>
    <row r="43" spans="2:6" ht="15" hidden="1" x14ac:dyDescent="0.2">
      <c r="B43" s="100" t="s">
        <v>171</v>
      </c>
      <c r="C43" s="101" t="s">
        <v>129</v>
      </c>
      <c r="D43" s="132">
        <v>0.99</v>
      </c>
      <c r="F43"/>
    </row>
    <row r="44" spans="2:6" ht="15" hidden="1" x14ac:dyDescent="0.2">
      <c r="B44" s="100" t="s">
        <v>172</v>
      </c>
      <c r="C44" s="101" t="s">
        <v>138</v>
      </c>
      <c r="D44" s="132">
        <v>0.98599999999999999</v>
      </c>
      <c r="F44"/>
    </row>
    <row r="45" spans="2:6" ht="15" hidden="1" x14ac:dyDescent="0.2">
      <c r="B45" s="100" t="s">
        <v>173</v>
      </c>
      <c r="C45" s="100" t="s">
        <v>133</v>
      </c>
      <c r="D45" s="132">
        <v>0.96699999999999997</v>
      </c>
      <c r="F45"/>
    </row>
    <row r="46" spans="2:6" ht="15" hidden="1" x14ac:dyDescent="0.2">
      <c r="B46" s="100" t="s">
        <v>174</v>
      </c>
      <c r="C46" s="101" t="s">
        <v>129</v>
      </c>
      <c r="D46" s="132">
        <v>0.99</v>
      </c>
      <c r="F46"/>
    </row>
    <row r="47" spans="2:6" ht="15" hidden="1" x14ac:dyDescent="0.2">
      <c r="B47" s="100" t="s">
        <v>175</v>
      </c>
      <c r="C47" s="101" t="s">
        <v>138</v>
      </c>
      <c r="D47" s="132">
        <v>0.98599999999999999</v>
      </c>
      <c r="F47"/>
    </row>
    <row r="48" spans="2:6" ht="15" hidden="1" x14ac:dyDescent="0.2">
      <c r="B48" s="100" t="s">
        <v>176</v>
      </c>
      <c r="C48" s="101" t="s">
        <v>129</v>
      </c>
      <c r="D48" s="132">
        <v>0.99</v>
      </c>
      <c r="F48"/>
    </row>
    <row r="49" spans="2:6" ht="15" hidden="1" x14ac:dyDescent="0.2">
      <c r="B49" s="100" t="s">
        <v>177</v>
      </c>
      <c r="C49" s="100" t="s">
        <v>133</v>
      </c>
      <c r="D49" s="132">
        <v>0.96699999999999997</v>
      </c>
      <c r="F49"/>
    </row>
    <row r="50" spans="2:6" ht="15" hidden="1" x14ac:dyDescent="0.2">
      <c r="B50" s="100" t="s">
        <v>178</v>
      </c>
      <c r="C50" s="101" t="s">
        <v>131</v>
      </c>
      <c r="D50" s="132">
        <v>1.004</v>
      </c>
      <c r="F50"/>
    </row>
    <row r="51" spans="2:6" ht="15" hidden="1" x14ac:dyDescent="0.2">
      <c r="B51" s="100" t="s">
        <v>179</v>
      </c>
      <c r="C51" s="101" t="s">
        <v>138</v>
      </c>
      <c r="D51" s="132">
        <v>0.98599999999999999</v>
      </c>
      <c r="F51"/>
    </row>
    <row r="52" spans="2:6" ht="15" hidden="1" x14ac:dyDescent="0.2">
      <c r="B52" s="100" t="s">
        <v>180</v>
      </c>
      <c r="C52" s="101" t="s">
        <v>138</v>
      </c>
      <c r="D52" s="132">
        <v>0.98599999999999999</v>
      </c>
      <c r="F52"/>
    </row>
    <row r="53" spans="2:6" ht="15" hidden="1" x14ac:dyDescent="0.2">
      <c r="B53" s="100" t="s">
        <v>184</v>
      </c>
      <c r="C53" s="101" t="s">
        <v>138</v>
      </c>
      <c r="D53" s="132">
        <v>0.98599999999999999</v>
      </c>
      <c r="F53"/>
    </row>
    <row r="54" spans="2:6" ht="15" hidden="1" x14ac:dyDescent="0.2">
      <c r="B54" s="100" t="s">
        <v>181</v>
      </c>
      <c r="C54" s="100" t="s">
        <v>133</v>
      </c>
      <c r="D54" s="132">
        <v>0.96699999999999997</v>
      </c>
      <c r="F54"/>
    </row>
    <row r="55" spans="2:6" ht="15" hidden="1" x14ac:dyDescent="0.2">
      <c r="B55" s="100" t="s">
        <v>182</v>
      </c>
      <c r="C55" s="100" t="s">
        <v>133</v>
      </c>
      <c r="D55" s="132">
        <v>0.96699999999999997</v>
      </c>
      <c r="F55"/>
    </row>
    <row r="56" spans="2:6" ht="15" hidden="1" x14ac:dyDescent="0.2">
      <c r="B56" s="100" t="s">
        <v>183</v>
      </c>
      <c r="C56" s="101" t="s">
        <v>142</v>
      </c>
      <c r="D56" s="132">
        <v>1.0269999999999999</v>
      </c>
      <c r="F56"/>
    </row>
    <row r="57" spans="2:6" ht="15" hidden="1" x14ac:dyDescent="0.2">
      <c r="B57" s="100" t="s">
        <v>185</v>
      </c>
      <c r="C57" s="101" t="s">
        <v>138</v>
      </c>
      <c r="D57" s="132">
        <v>0.98599999999999999</v>
      </c>
      <c r="F57"/>
    </row>
    <row r="58" spans="2:6" ht="15" hidden="1" x14ac:dyDescent="0.2">
      <c r="B58" s="100" t="s">
        <v>186</v>
      </c>
      <c r="C58" s="101" t="s">
        <v>131</v>
      </c>
      <c r="D58" s="132">
        <v>1.004</v>
      </c>
      <c r="F58"/>
    </row>
    <row r="59" spans="2:6" ht="15" hidden="1" x14ac:dyDescent="0.2">
      <c r="B59" s="100" t="s">
        <v>187</v>
      </c>
      <c r="C59" s="100" t="s">
        <v>133</v>
      </c>
      <c r="D59" s="132">
        <v>0.96699999999999997</v>
      </c>
      <c r="F59"/>
    </row>
    <row r="60" spans="2:6" ht="15" hidden="1" x14ac:dyDescent="0.2">
      <c r="B60" s="100" t="s">
        <v>188</v>
      </c>
      <c r="C60" s="101" t="s">
        <v>142</v>
      </c>
      <c r="D60" s="132">
        <v>1.0269999999999999</v>
      </c>
      <c r="F60"/>
    </row>
    <row r="61" spans="2:6" ht="15" hidden="1" x14ac:dyDescent="0.2">
      <c r="B61" s="100" t="s">
        <v>189</v>
      </c>
      <c r="C61" s="101" t="s">
        <v>138</v>
      </c>
      <c r="D61" s="132">
        <v>0.98599999999999999</v>
      </c>
      <c r="F61"/>
    </row>
    <row r="62" spans="2:6" ht="15" hidden="1" x14ac:dyDescent="0.2">
      <c r="B62" s="100" t="s">
        <v>190</v>
      </c>
      <c r="C62" s="101" t="s">
        <v>140</v>
      </c>
      <c r="D62" s="132">
        <v>1.022</v>
      </c>
      <c r="F62"/>
    </row>
    <row r="63" spans="2:6" ht="15" hidden="1" x14ac:dyDescent="0.2">
      <c r="B63" s="100" t="s">
        <v>191</v>
      </c>
      <c r="C63" s="101" t="s">
        <v>138</v>
      </c>
      <c r="D63" s="132">
        <v>0.98599999999999999</v>
      </c>
      <c r="F63"/>
    </row>
    <row r="64" spans="2:6" ht="15" hidden="1" x14ac:dyDescent="0.2">
      <c r="B64" s="100" t="s">
        <v>192</v>
      </c>
      <c r="C64" s="100" t="s">
        <v>133</v>
      </c>
      <c r="D64" s="132">
        <v>0.96699999999999997</v>
      </c>
      <c r="F64"/>
    </row>
    <row r="65" spans="2:6" ht="15" hidden="1" x14ac:dyDescent="0.2">
      <c r="B65" s="100" t="s">
        <v>193</v>
      </c>
      <c r="C65" s="101" t="s">
        <v>157</v>
      </c>
      <c r="D65" s="132">
        <v>1.0029999999999999</v>
      </c>
      <c r="F65"/>
    </row>
    <row r="66" spans="2:6" ht="15" hidden="1" x14ac:dyDescent="0.2">
      <c r="B66" s="100" t="s">
        <v>194</v>
      </c>
      <c r="C66" s="100" t="s">
        <v>133</v>
      </c>
      <c r="D66" s="132">
        <v>0.96699999999999997</v>
      </c>
      <c r="F66"/>
    </row>
    <row r="67" spans="2:6" ht="15" hidden="1" x14ac:dyDescent="0.2">
      <c r="B67" s="100" t="s">
        <v>195</v>
      </c>
      <c r="C67" s="100" t="s">
        <v>133</v>
      </c>
      <c r="D67" s="132">
        <v>0.96699999999999997</v>
      </c>
      <c r="F67"/>
    </row>
    <row r="68" spans="2:6" ht="15" hidden="1" x14ac:dyDescent="0.2">
      <c r="B68" s="100" t="s">
        <v>196</v>
      </c>
      <c r="C68" s="101" t="s">
        <v>129</v>
      </c>
      <c r="D68" s="132">
        <v>0.99</v>
      </c>
      <c r="F68"/>
    </row>
    <row r="69" spans="2:6" ht="15" hidden="1" x14ac:dyDescent="0.2">
      <c r="B69" s="100" t="s">
        <v>197</v>
      </c>
      <c r="C69" s="101" t="s">
        <v>138</v>
      </c>
      <c r="D69" s="132">
        <v>0.98599999999999999</v>
      </c>
      <c r="F69"/>
    </row>
    <row r="70" spans="2:6" ht="15" hidden="1" x14ac:dyDescent="0.2">
      <c r="B70" s="100" t="s">
        <v>198</v>
      </c>
      <c r="C70" s="101" t="s">
        <v>199</v>
      </c>
      <c r="D70" s="132">
        <v>1.0249999999999999</v>
      </c>
      <c r="F70"/>
    </row>
    <row r="71" spans="2:6" ht="15" hidden="1" x14ac:dyDescent="0.2">
      <c r="B71" s="100" t="s">
        <v>200</v>
      </c>
      <c r="C71" s="100" t="s">
        <v>133</v>
      </c>
      <c r="D71" s="132">
        <v>0.96699999999999997</v>
      </c>
      <c r="F71"/>
    </row>
    <row r="72" spans="2:6" ht="15" hidden="1" x14ac:dyDescent="0.2">
      <c r="B72" s="100" t="s">
        <v>201</v>
      </c>
      <c r="C72" s="100" t="s">
        <v>131</v>
      </c>
      <c r="D72" s="132">
        <v>1.004</v>
      </c>
      <c r="F72"/>
    </row>
    <row r="73" spans="2:6" ht="15" hidden="1" x14ac:dyDescent="0.2">
      <c r="B73" s="100" t="s">
        <v>202</v>
      </c>
      <c r="C73" s="100" t="s">
        <v>133</v>
      </c>
      <c r="D73" s="132">
        <v>0.96699999999999997</v>
      </c>
      <c r="F73"/>
    </row>
    <row r="74" spans="2:6" ht="15" hidden="1" x14ac:dyDescent="0.2">
      <c r="B74" s="100" t="s">
        <v>203</v>
      </c>
      <c r="C74" s="101" t="s">
        <v>138</v>
      </c>
      <c r="D74" s="132">
        <v>0.98599999999999999</v>
      </c>
      <c r="F74"/>
    </row>
    <row r="75" spans="2:6" ht="15" hidden="1" x14ac:dyDescent="0.2">
      <c r="B75" s="100" t="s">
        <v>204</v>
      </c>
      <c r="C75" s="101" t="s">
        <v>138</v>
      </c>
      <c r="D75" s="132">
        <v>0.98599999999999999</v>
      </c>
      <c r="F75"/>
    </row>
    <row r="76" spans="2:6" ht="15" hidden="1" x14ac:dyDescent="0.2">
      <c r="B76" s="100" t="s">
        <v>205</v>
      </c>
      <c r="C76" s="101" t="s">
        <v>142</v>
      </c>
      <c r="D76" s="132">
        <v>1.0269999999999999</v>
      </c>
      <c r="F76"/>
    </row>
    <row r="77" spans="2:6" ht="15" hidden="1" x14ac:dyDescent="0.2">
      <c r="B77" s="100" t="s">
        <v>206</v>
      </c>
      <c r="C77" s="101" t="s">
        <v>138</v>
      </c>
      <c r="D77" s="132">
        <v>0.98599999999999999</v>
      </c>
      <c r="F77"/>
    </row>
    <row r="78" spans="2:6" ht="15" hidden="1" x14ac:dyDescent="0.2">
      <c r="B78" s="100" t="s">
        <v>207</v>
      </c>
      <c r="C78" s="100" t="s">
        <v>133</v>
      </c>
      <c r="D78" s="132">
        <v>0.96699999999999997</v>
      </c>
      <c r="F78"/>
    </row>
    <row r="79" spans="2:6" ht="15" hidden="1" x14ac:dyDescent="0.2">
      <c r="B79" s="100" t="s">
        <v>211</v>
      </c>
      <c r="C79" s="101" t="s">
        <v>144</v>
      </c>
      <c r="D79" s="132">
        <v>0.96499999999999997</v>
      </c>
      <c r="F79"/>
    </row>
    <row r="80" spans="2:6" ht="15" hidden="1" x14ac:dyDescent="0.2">
      <c r="B80" s="100" t="s">
        <v>208</v>
      </c>
      <c r="C80" s="100" t="s">
        <v>131</v>
      </c>
      <c r="D80" s="132">
        <v>1.004</v>
      </c>
      <c r="F80"/>
    </row>
    <row r="81" spans="2:6" ht="15" hidden="1" x14ac:dyDescent="0.2">
      <c r="B81" s="100" t="s">
        <v>209</v>
      </c>
      <c r="C81" s="101" t="s">
        <v>131</v>
      </c>
      <c r="D81" s="132">
        <v>1.004</v>
      </c>
      <c r="F81"/>
    </row>
    <row r="82" spans="2:6" ht="15" hidden="1" x14ac:dyDescent="0.2">
      <c r="B82" s="100" t="s">
        <v>210</v>
      </c>
      <c r="C82" s="101" t="s">
        <v>131</v>
      </c>
      <c r="D82" s="132">
        <v>1.004</v>
      </c>
      <c r="F82"/>
    </row>
    <row r="83" spans="2:6" ht="15" hidden="1" x14ac:dyDescent="0.2">
      <c r="B83" s="100" t="s">
        <v>212</v>
      </c>
      <c r="C83" s="101" t="s">
        <v>136</v>
      </c>
      <c r="D83" s="132">
        <v>1.0169999999999999</v>
      </c>
      <c r="F83"/>
    </row>
    <row r="84" spans="2:6" ht="15" hidden="1" x14ac:dyDescent="0.2">
      <c r="B84" s="100" t="s">
        <v>213</v>
      </c>
      <c r="C84" s="101" t="s">
        <v>142</v>
      </c>
      <c r="D84" s="132">
        <v>1.0269999999999999</v>
      </c>
      <c r="F84"/>
    </row>
    <row r="85" spans="2:6" ht="15" hidden="1" x14ac:dyDescent="0.2">
      <c r="B85" s="100" t="s">
        <v>214</v>
      </c>
      <c r="C85" s="100" t="s">
        <v>133</v>
      </c>
      <c r="D85" s="132">
        <v>0.96699999999999997</v>
      </c>
      <c r="F85"/>
    </row>
    <row r="86" spans="2:6" ht="15" hidden="1" x14ac:dyDescent="0.2">
      <c r="B86" s="100" t="s">
        <v>215</v>
      </c>
      <c r="C86" s="101" t="s">
        <v>138</v>
      </c>
      <c r="D86" s="132">
        <v>0.98599999999999999</v>
      </c>
      <c r="F86"/>
    </row>
    <row r="87" spans="2:6" ht="15" hidden="1" x14ac:dyDescent="0.2">
      <c r="B87" s="100" t="s">
        <v>216</v>
      </c>
      <c r="C87" s="100" t="s">
        <v>133</v>
      </c>
      <c r="D87" s="132">
        <v>0.96699999999999997</v>
      </c>
      <c r="F87"/>
    </row>
    <row r="88" spans="2:6" ht="15" hidden="1" x14ac:dyDescent="0.2">
      <c r="B88" s="100" t="s">
        <v>217</v>
      </c>
      <c r="C88" s="100" t="s">
        <v>133</v>
      </c>
      <c r="D88" s="132">
        <v>0.96699999999999997</v>
      </c>
      <c r="F88"/>
    </row>
    <row r="89" spans="2:6" ht="15" hidden="1" x14ac:dyDescent="0.2">
      <c r="B89" s="100" t="s">
        <v>218</v>
      </c>
      <c r="C89" s="101" t="s">
        <v>157</v>
      </c>
      <c r="D89" s="132">
        <v>1.0029999999999999</v>
      </c>
      <c r="F89"/>
    </row>
    <row r="90" spans="2:6" ht="15" hidden="1" x14ac:dyDescent="0.2">
      <c r="B90" s="100" t="s">
        <v>219</v>
      </c>
      <c r="C90" s="100" t="s">
        <v>133</v>
      </c>
      <c r="D90" s="132">
        <v>0.96699999999999997</v>
      </c>
      <c r="F90"/>
    </row>
    <row r="91" spans="2:6" ht="15" hidden="1" x14ac:dyDescent="0.2">
      <c r="B91" s="100" t="s">
        <v>220</v>
      </c>
      <c r="C91" s="101" t="s">
        <v>142</v>
      </c>
      <c r="D91" s="132">
        <v>1.0269999999999999</v>
      </c>
      <c r="F91"/>
    </row>
    <row r="92" spans="2:6" ht="15" hidden="1" x14ac:dyDescent="0.2">
      <c r="B92" s="100" t="s">
        <v>221</v>
      </c>
      <c r="C92" s="100" t="s">
        <v>131</v>
      </c>
      <c r="D92" s="132">
        <v>1.004</v>
      </c>
      <c r="F92"/>
    </row>
    <row r="93" spans="2:6" ht="15" hidden="1" x14ac:dyDescent="0.2">
      <c r="B93" s="100" t="s">
        <v>222</v>
      </c>
      <c r="C93" s="101" t="s">
        <v>142</v>
      </c>
      <c r="D93" s="132">
        <v>1.0269999999999999</v>
      </c>
      <c r="F93"/>
    </row>
    <row r="94" spans="2:6" ht="15" hidden="1" x14ac:dyDescent="0.2">
      <c r="B94" s="100" t="s">
        <v>223</v>
      </c>
      <c r="C94" s="100" t="s">
        <v>133</v>
      </c>
      <c r="D94" s="132">
        <v>0.96699999999999997</v>
      </c>
      <c r="F94"/>
    </row>
    <row r="95" spans="2:6" ht="15" hidden="1" x14ac:dyDescent="0.2">
      <c r="B95" s="100" t="s">
        <v>224</v>
      </c>
      <c r="C95" s="101" t="s">
        <v>142</v>
      </c>
      <c r="D95" s="132">
        <v>1.0269999999999999</v>
      </c>
      <c r="F95"/>
    </row>
    <row r="96" spans="2:6" ht="15" hidden="1" x14ac:dyDescent="0.2">
      <c r="B96" s="100" t="s">
        <v>225</v>
      </c>
      <c r="C96" s="101" t="s">
        <v>131</v>
      </c>
      <c r="D96" s="132">
        <v>1.004</v>
      </c>
      <c r="F96"/>
    </row>
    <row r="97" spans="2:6" ht="15" hidden="1" x14ac:dyDescent="0.2">
      <c r="B97" s="115" t="s">
        <v>226</v>
      </c>
      <c r="C97" s="116" t="s">
        <v>138</v>
      </c>
      <c r="D97" s="133">
        <v>0.98599999999999999</v>
      </c>
      <c r="F97"/>
    </row>
    <row r="98" spans="2:6" hidden="1" x14ac:dyDescent="0.2">
      <c r="B98" s="117" t="s">
        <v>234</v>
      </c>
      <c r="C98" s="117" t="s">
        <v>133</v>
      </c>
      <c r="D98" s="134">
        <v>0.96699999999999997</v>
      </c>
    </row>
    <row r="99" spans="2:6" hidden="1" x14ac:dyDescent="0.2">
      <c r="B99" s="117" t="s">
        <v>235</v>
      </c>
      <c r="C99" s="117" t="s">
        <v>133</v>
      </c>
      <c r="D99" s="134">
        <v>0.96699999999999997</v>
      </c>
    </row>
    <row r="100" spans="2:6" hidden="1" x14ac:dyDescent="0.2">
      <c r="B100" s="117" t="s">
        <v>236</v>
      </c>
      <c r="C100" s="117" t="s">
        <v>138</v>
      </c>
      <c r="D100" s="134">
        <v>0.98599999999999999</v>
      </c>
    </row>
    <row r="101" spans="2:6" hidden="1" x14ac:dyDescent="0.2">
      <c r="B101" s="117" t="s">
        <v>237</v>
      </c>
      <c r="C101" s="117" t="s">
        <v>131</v>
      </c>
      <c r="D101" s="134">
        <v>1.004</v>
      </c>
    </row>
    <row r="102" spans="2:6" hidden="1" x14ac:dyDescent="0.2">
      <c r="B102" s="117" t="s">
        <v>238</v>
      </c>
      <c r="C102" s="117" t="s">
        <v>138</v>
      </c>
      <c r="D102" s="134">
        <v>0.98599999999999999</v>
      </c>
    </row>
    <row r="103" spans="2:6" hidden="1" x14ac:dyDescent="0.2">
      <c r="B103" s="117" t="s">
        <v>239</v>
      </c>
      <c r="C103" s="117" t="s">
        <v>131</v>
      </c>
      <c r="D103" s="134">
        <v>1.004</v>
      </c>
    </row>
    <row r="104" spans="2:6" hidden="1" x14ac:dyDescent="0.2">
      <c r="B104" s="117" t="s">
        <v>240</v>
      </c>
      <c r="C104" s="117" t="s">
        <v>129</v>
      </c>
      <c r="D104" s="135">
        <v>0.99</v>
      </c>
    </row>
    <row r="105" spans="2:6" hidden="1" x14ac:dyDescent="0.2">
      <c r="B105" s="117" t="s">
        <v>241</v>
      </c>
      <c r="C105" s="117" t="s">
        <v>144</v>
      </c>
      <c r="D105" s="134">
        <v>0.96499999999999997</v>
      </c>
    </row>
    <row r="106" spans="2:6" hidden="1" x14ac:dyDescent="0.2">
      <c r="B106" s="117" t="s">
        <v>242</v>
      </c>
      <c r="C106" s="117" t="s">
        <v>133</v>
      </c>
      <c r="D106" s="135">
        <v>0.96699999999999997</v>
      </c>
    </row>
    <row r="107" spans="2:6" hidden="1" x14ac:dyDescent="0.2">
      <c r="B107" s="117" t="s">
        <v>243</v>
      </c>
      <c r="C107" s="117" t="s">
        <v>129</v>
      </c>
      <c r="D107" s="135">
        <v>0.99</v>
      </c>
    </row>
    <row r="108" spans="2:6" hidden="1" x14ac:dyDescent="0.2">
      <c r="B108" s="117" t="s">
        <v>244</v>
      </c>
      <c r="C108" s="117" t="s">
        <v>142</v>
      </c>
      <c r="D108" s="134">
        <v>1.0269999999999999</v>
      </c>
    </row>
  </sheetData>
  <sheetProtection algorithmName="SHA-512" hashValue="nKRgayU3wPzLfzvtC728O/p8IruzaYsySlm3hgTG4Jju/tx3FPDn1k8I/Z6jZXFlODZgyNM0HlMZceBhpw873w==" saltValue="Si7x0XCTcjTcwIqEiObmbA=="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600-000000000000}">
      <formula1>$B$10:$B$108</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48"/>
  <sheetViews>
    <sheetView zoomScale="125" workbookViewId="0">
      <selection activeCell="B30" sqref="B30"/>
    </sheetView>
  </sheetViews>
  <sheetFormatPr defaultColWidth="9.140625" defaultRowHeight="12.75" x14ac:dyDescent="0.2"/>
  <cols>
    <col min="1" max="1" width="37.85546875" style="30" customWidth="1"/>
    <col min="2" max="2" width="20.7109375" style="30" bestFit="1" customWidth="1"/>
    <col min="3" max="3" width="14.140625" style="30" customWidth="1"/>
    <col min="4" max="4" width="16" style="30" customWidth="1"/>
    <col min="5" max="5" width="14.140625" style="110" customWidth="1"/>
    <col min="6" max="6" width="11.28515625" style="30" bestFit="1" customWidth="1"/>
    <col min="7" max="16384" width="9.140625" style="30"/>
  </cols>
  <sheetData>
    <row r="1" spans="1:6" ht="15" x14ac:dyDescent="0.2">
      <c r="A1" s="29" t="s">
        <v>96</v>
      </c>
      <c r="C1" s="28"/>
      <c r="D1" s="28"/>
      <c r="E1" s="109"/>
      <c r="F1" s="28"/>
    </row>
    <row r="2" spans="1:6" x14ac:dyDescent="0.2">
      <c r="A2" s="31"/>
      <c r="B2" s="31"/>
      <c r="C2" s="31"/>
      <c r="D2" s="31"/>
      <c r="E2" s="109"/>
      <c r="F2" s="28"/>
    </row>
    <row r="3" spans="1:6" x14ac:dyDescent="0.2">
      <c r="A3" s="32" t="s">
        <v>11</v>
      </c>
      <c r="B3" s="28"/>
      <c r="C3" s="28"/>
      <c r="D3" s="5" t="s">
        <v>75</v>
      </c>
      <c r="E3" s="109"/>
      <c r="F3" s="28"/>
    </row>
    <row r="4" spans="1:6" x14ac:dyDescent="0.2">
      <c r="A4" s="57" t="s">
        <v>91</v>
      </c>
      <c r="B4" s="129">
        <f>'Direct Staffing'!C34</f>
        <v>150.21808704</v>
      </c>
      <c r="D4" s="35">
        <f>B4</f>
        <v>150.21808704</v>
      </c>
      <c r="E4" s="109"/>
      <c r="F4" s="28"/>
    </row>
    <row r="5" spans="1:6" x14ac:dyDescent="0.2">
      <c r="A5" s="31"/>
      <c r="B5" s="31"/>
      <c r="C5" s="31"/>
      <c r="D5" s="31"/>
      <c r="E5" s="109"/>
      <c r="F5" s="28"/>
    </row>
    <row r="6" spans="1:6" x14ac:dyDescent="0.2">
      <c r="A6" s="32" t="s">
        <v>31</v>
      </c>
      <c r="B6" s="28"/>
      <c r="C6" s="28"/>
      <c r="D6" s="28"/>
      <c r="E6" s="109"/>
      <c r="F6" s="28"/>
    </row>
    <row r="7" spans="1:6" x14ac:dyDescent="0.2">
      <c r="A7" s="33" t="s">
        <v>62</v>
      </c>
      <c r="B7" s="43">
        <f>'Program Plan Support'!C9</f>
        <v>5.6000000000000001E-2</v>
      </c>
      <c r="D7" s="35">
        <f>B7*D4</f>
        <v>8.4122128742399997</v>
      </c>
      <c r="E7" s="109"/>
      <c r="F7" s="28"/>
    </row>
    <row r="8" spans="1:6" x14ac:dyDescent="0.2">
      <c r="A8" s="31"/>
      <c r="B8" s="31"/>
      <c r="C8" s="31"/>
      <c r="D8" s="31"/>
      <c r="E8" s="109"/>
      <c r="F8" s="28"/>
    </row>
    <row r="9" spans="1:6" x14ac:dyDescent="0.2">
      <c r="A9" s="32" t="s">
        <v>1</v>
      </c>
      <c r="B9" s="28"/>
      <c r="C9" s="28"/>
      <c r="D9" s="28"/>
      <c r="E9" s="109"/>
      <c r="F9" s="28"/>
    </row>
    <row r="10" spans="1:6" x14ac:dyDescent="0.2">
      <c r="A10" s="33" t="s">
        <v>9</v>
      </c>
      <c r="B10" s="44">
        <f>'Emp. Related Exp.'!C19</f>
        <v>0.23599999999999999</v>
      </c>
      <c r="C10" s="35"/>
      <c r="D10" s="35">
        <f>B10*(D4+D7)</f>
        <v>37.436750779760636</v>
      </c>
      <c r="E10" s="109"/>
      <c r="F10" s="28"/>
    </row>
    <row r="11" spans="1:6" ht="16.5" customHeight="1" x14ac:dyDescent="0.2">
      <c r="A11" s="31"/>
      <c r="B11" s="31"/>
      <c r="C11" s="31"/>
      <c r="D11" s="31"/>
      <c r="E11" s="109"/>
      <c r="F11" s="28"/>
    </row>
    <row r="12" spans="1:6" x14ac:dyDescent="0.2">
      <c r="A12" s="32" t="s">
        <v>34</v>
      </c>
      <c r="B12" s="28"/>
      <c r="C12" s="28"/>
      <c r="D12" s="28"/>
      <c r="E12" s="109"/>
      <c r="F12" s="28"/>
    </row>
    <row r="13" spans="1:6" x14ac:dyDescent="0.2">
      <c r="A13" s="36" t="s">
        <v>35</v>
      </c>
      <c r="B13" s="130">
        <f>'Client Programming &amp; Supports'!C9</f>
        <v>0.13</v>
      </c>
      <c r="D13" s="37">
        <f>(D4+D7+D10)*B13</f>
        <v>25.488716590220083</v>
      </c>
      <c r="E13" s="109"/>
      <c r="F13" s="28"/>
    </row>
    <row r="14" spans="1:6" x14ac:dyDescent="0.2">
      <c r="A14" s="31"/>
      <c r="B14" s="31"/>
      <c r="C14" s="31"/>
      <c r="D14" s="31"/>
      <c r="E14" s="109"/>
      <c r="F14" s="28"/>
    </row>
    <row r="15" spans="1:6" x14ac:dyDescent="0.2">
      <c r="A15" s="32" t="s">
        <v>46</v>
      </c>
      <c r="B15" s="28"/>
      <c r="C15" s="28"/>
      <c r="D15" s="28"/>
      <c r="E15" s="109"/>
      <c r="F15" s="28"/>
    </row>
    <row r="16" spans="1:6" x14ac:dyDescent="0.2">
      <c r="A16" s="36" t="s">
        <v>63</v>
      </c>
      <c r="B16" s="131">
        <f>'Program Facility'!C5</f>
        <v>9.7119999999999997</v>
      </c>
      <c r="D16" s="37">
        <f>B16</f>
        <v>9.7119999999999997</v>
      </c>
      <c r="E16" s="109"/>
      <c r="F16" s="28"/>
    </row>
    <row r="17" spans="1:6" x14ac:dyDescent="0.2">
      <c r="A17" s="31"/>
      <c r="B17" s="31"/>
      <c r="C17" s="31"/>
      <c r="D17" s="31"/>
      <c r="E17" s="109"/>
      <c r="F17" s="28"/>
    </row>
    <row r="18" spans="1:6" x14ac:dyDescent="0.2">
      <c r="A18" s="32" t="s">
        <v>13</v>
      </c>
      <c r="B18" s="28"/>
      <c r="C18" s="28"/>
      <c r="D18" s="28"/>
      <c r="E18" s="109"/>
      <c r="F18" s="28"/>
    </row>
    <row r="19" spans="1:6" x14ac:dyDescent="0.2">
      <c r="A19" s="33" t="s">
        <v>12</v>
      </c>
      <c r="B19" s="45">
        <f>'Program Related Expenses'!E8</f>
        <v>0.2445</v>
      </c>
      <c r="C19" s="35"/>
      <c r="D19" s="35">
        <f>E19-(D4+D7+D10+D13+D16)</f>
        <v>74.8444329596187</v>
      </c>
      <c r="E19" s="109">
        <f>(D4+D7+D10+D13+D16)/(1-B19)</f>
        <v>306.11220024383942</v>
      </c>
      <c r="F19" s="28"/>
    </row>
    <row r="20" spans="1:6" x14ac:dyDescent="0.2">
      <c r="A20" s="107"/>
      <c r="B20" s="108"/>
      <c r="C20" s="35"/>
      <c r="D20" s="35"/>
      <c r="E20" s="109"/>
      <c r="F20" s="28"/>
    </row>
    <row r="21" spans="1:6" x14ac:dyDescent="0.2">
      <c r="A21" s="32" t="s">
        <v>227</v>
      </c>
      <c r="B21" s="102"/>
      <c r="C21" s="103"/>
      <c r="D21" s="103"/>
      <c r="E21" s="109"/>
      <c r="F21" s="28"/>
    </row>
    <row r="22" spans="1:6" x14ac:dyDescent="0.2">
      <c r="A22" s="53" t="s">
        <v>228</v>
      </c>
      <c r="B22" s="104" t="str">
        <f>'Regional Variance Factor'!B7</f>
        <v>-</v>
      </c>
      <c r="C22" s="105"/>
      <c r="D22" s="106" t="str">
        <f>IF((B22&lt;&gt;"-"),((E19*B22)-E19),"Select County")</f>
        <v>Select County</v>
      </c>
      <c r="E22" s="109"/>
      <c r="F22" s="28"/>
    </row>
    <row r="23" spans="1:6" x14ac:dyDescent="0.2">
      <c r="A23" s="31"/>
      <c r="B23" s="31"/>
      <c r="C23" s="31"/>
      <c r="D23" s="31"/>
      <c r="E23" s="109"/>
      <c r="F23" s="28"/>
    </row>
    <row r="24" spans="1:6" x14ac:dyDescent="0.2">
      <c r="A24" s="39" t="s">
        <v>229</v>
      </c>
      <c r="B24" s="34" t="str">
        <f>D24</f>
        <v>Select County</v>
      </c>
      <c r="D24" s="37" t="str">
        <f>IF((B22&lt;&gt;"-"),E19+D22,"Select County")</f>
        <v>Select County</v>
      </c>
      <c r="E24" s="109"/>
      <c r="F24" s="28"/>
    </row>
    <row r="25" spans="1:6" x14ac:dyDescent="0.2">
      <c r="A25" s="31"/>
      <c r="B25" s="31"/>
      <c r="C25" s="31"/>
      <c r="D25" s="31"/>
      <c r="E25" s="109"/>
      <c r="F25" s="28"/>
    </row>
    <row r="26" spans="1:6" s="120" customFormat="1" hidden="1" x14ac:dyDescent="0.2">
      <c r="A26" s="118" t="s">
        <v>80</v>
      </c>
      <c r="B26" s="119">
        <v>1</v>
      </c>
      <c r="E26" s="121"/>
    </row>
    <row r="27" spans="1:6" s="120" customFormat="1" hidden="1" x14ac:dyDescent="0.2">
      <c r="A27" s="122" t="s">
        <v>92</v>
      </c>
      <c r="B27" s="123" t="str">
        <f>IF((B22&lt;&gt;"-"),(100%-B26)*B24,"-")</f>
        <v>-</v>
      </c>
      <c r="E27" s="121"/>
    </row>
    <row r="28" spans="1:6" s="120" customFormat="1" hidden="1" x14ac:dyDescent="0.2">
      <c r="A28" s="124"/>
      <c r="B28" s="125"/>
      <c r="E28" s="121"/>
    </row>
    <row r="29" spans="1:6" x14ac:dyDescent="0.2">
      <c r="A29" s="32" t="s">
        <v>245</v>
      </c>
    </row>
    <row r="30" spans="1:6" x14ac:dyDescent="0.2">
      <c r="A30" s="53" t="s">
        <v>105</v>
      </c>
      <c r="B30" s="38" t="str">
        <f>IF((B22&lt;&gt;"-"),B24+B27,"Select County")</f>
        <v>Select County</v>
      </c>
    </row>
    <row r="32" spans="1:6" hidden="1" x14ac:dyDescent="0.2">
      <c r="A32" s="32" t="s">
        <v>104</v>
      </c>
      <c r="B32" s="102">
        <v>0.01</v>
      </c>
    </row>
    <row r="33" spans="1:2" hidden="1" x14ac:dyDescent="0.2">
      <c r="A33" s="53" t="s">
        <v>107</v>
      </c>
      <c r="B33" s="38" t="str">
        <f>IF((B22&lt;&gt;"-"),ROUND(B30*B32,2),"-")</f>
        <v>-</v>
      </c>
    </row>
    <row r="34" spans="1:2" hidden="1" x14ac:dyDescent="0.2"/>
    <row r="35" spans="1:2" hidden="1" x14ac:dyDescent="0.2">
      <c r="A35" s="32" t="s">
        <v>109</v>
      </c>
    </row>
    <row r="36" spans="1:2" hidden="1" x14ac:dyDescent="0.2">
      <c r="A36" s="53" t="s">
        <v>106</v>
      </c>
      <c r="B36" s="38" t="str">
        <f>IF((B22&lt;&gt;"-"),B30+B33,"-")</f>
        <v>-</v>
      </c>
    </row>
    <row r="37" spans="1:2" hidden="1" x14ac:dyDescent="0.2"/>
    <row r="38" spans="1:2" hidden="1" x14ac:dyDescent="0.2">
      <c r="A38" s="32" t="s">
        <v>110</v>
      </c>
      <c r="B38" s="102">
        <v>0.05</v>
      </c>
    </row>
    <row r="39" spans="1:2" hidden="1" x14ac:dyDescent="0.2">
      <c r="A39" s="53" t="s">
        <v>107</v>
      </c>
      <c r="B39" s="38" t="str">
        <f>IF((B22&lt;&gt;"-"),(B36)*B38,"-")</f>
        <v>-</v>
      </c>
    </row>
    <row r="40" spans="1:2" hidden="1" x14ac:dyDescent="0.2"/>
    <row r="41" spans="1:2" hidden="1" x14ac:dyDescent="0.2">
      <c r="A41" s="32" t="s">
        <v>111</v>
      </c>
    </row>
    <row r="42" spans="1:2" hidden="1" x14ac:dyDescent="0.2">
      <c r="A42" s="53" t="s">
        <v>106</v>
      </c>
      <c r="B42" s="38" t="str">
        <f>IF((B22&lt;&gt;"-"),B36+B39,"-")</f>
        <v>-</v>
      </c>
    </row>
    <row r="43" spans="1:2" hidden="1" x14ac:dyDescent="0.2"/>
    <row r="44" spans="1:2" hidden="1" x14ac:dyDescent="0.2">
      <c r="A44" s="32" t="s">
        <v>117</v>
      </c>
      <c r="B44" s="102">
        <v>0.01</v>
      </c>
    </row>
    <row r="45" spans="1:2" hidden="1" x14ac:dyDescent="0.2">
      <c r="A45" s="53" t="s">
        <v>107</v>
      </c>
      <c r="B45" s="38" t="str">
        <f>IF((B22&lt;&gt;"-"),(B42)*B44,"-")</f>
        <v>-</v>
      </c>
    </row>
    <row r="46" spans="1:2" hidden="1" x14ac:dyDescent="0.2"/>
    <row r="47" spans="1:2" hidden="1" x14ac:dyDescent="0.2">
      <c r="A47" s="32" t="s">
        <v>118</v>
      </c>
    </row>
    <row r="48" spans="1:2" hidden="1" x14ac:dyDescent="0.2">
      <c r="A48" s="53" t="s">
        <v>106</v>
      </c>
      <c r="B48" s="38" t="str">
        <f>IF((B22&lt;&gt;"-"),B42+B45,"Select County")</f>
        <v>Select County</v>
      </c>
    </row>
  </sheetData>
  <sheetProtection algorithmName="SHA-512" hashValue="3YdV5wE0nbDrk/+aNb+bISMW3zc4n1EdWyjzZqGiSiSutDLB8Ac8cavLi/cUZRMms6XsaZUFvOU+lRFxx9C/LA==" saltValue="bT87NALB994LW/AUn0gWDQ==" spinCount="100000" sheet="1" objects="1" scenarios="1"/>
  <phoneticPr fontId="2" type="noConversion"/>
  <dataValidations xWindow="571" yWindow="735" count="22">
    <dataValidation allowBlank="1" showInputMessage="1" showErrorMessage="1" prompt="Staffing Costs per Day formula is equal Total Individual Staffing Amount from Direct Staffing sheet" sqref="B4" xr:uid="{00000000-0002-0000-0700-000000000000}"/>
    <dataValidation allowBlank="1" showInputMessage="1" showErrorMessage="1" prompt="Cost for Staffing per Day Rate Calculation formula is equal to Staffing Cost per Day" sqref="D4" xr:uid="{00000000-0002-0000-0700-000001000000}"/>
    <dataValidation allowBlank="1" showInputMessage="1" showErrorMessage="1" prompt="Program Support Standard formula is equal to Program Support Percentage from Program Plan Support sheet" sqref="B7" xr:uid="{00000000-0002-0000-0700-000002000000}"/>
    <dataValidation allowBlank="1" showInputMessage="1" showErrorMessage="1" prompt="Program Support Rate Calculation formula is Program Support Standard times Staffing per Day Rate" sqref="D7" xr:uid="{00000000-0002-0000-0700-000003000000}"/>
    <dataValidation allowBlank="1" showInputMessage="1" showErrorMessage="1" prompt="Benefit Percentage formula is equal to Emplyee Related Expense Percentage from Emp. Related Exp. sheet" sqref="B10" xr:uid="{00000000-0002-0000-0700-000004000000}"/>
    <dataValidation allowBlank="1" showInputMessage="1" showErrorMessage="1" prompt="Employee Related Expense Rate Calculation formula is Benefit Percentage times the sum of (Staffing per Day Rate plus Program Support Rate)" sqref="D10" xr:uid="{00000000-0002-0000-0700-000005000000}"/>
    <dataValidation allowBlank="1" showInputMessage="1" showErrorMessage="1" prompt="Client Programming and Supports Standard formula is equal to Client Programming and Supports Percentage from Client Programming &amp; Supports sheet" sqref="B13" xr:uid="{00000000-0002-0000-0700-000006000000}"/>
    <dataValidation allowBlank="1" showInputMessage="1" showErrorMessage="1" prompt="Client Programming and Supports Rate Calculation formula is the sum of (Staffing per Day Rate plus Program Support Rate plus Employee Related Expense Rate) times Client Programming and Supports Standard" sqref="D13" xr:uid="{00000000-0002-0000-0700-000007000000}"/>
    <dataValidation allowBlank="1" showInputMessage="1" showErrorMessage="1" prompt="Program Facility Cost formula is equal to Daily Facility Cost from Program Facility sheet" sqref="B16" xr:uid="{00000000-0002-0000-0700-000008000000}"/>
    <dataValidation allowBlank="1" showInputMessage="1" showErrorMessage="1" prompt="Program Facility Rate formula is equal to Program Facility Cost" sqref="D16" xr:uid="{00000000-0002-0000-0700-000009000000}"/>
    <dataValidation allowBlank="1" showInputMessage="1" showErrorMessage="1" prompt="G&amp;A Standard formula is equal to Program Related Expenses from Program Related Expenses sheet" sqref="B19:B20" xr:uid="{00000000-0002-0000-0700-00000A000000}"/>
    <dataValidation allowBlank="1" showInputMessage="1" showErrorMessage="1" prompt="G&amp;A Rate Rate Calculation formula is Total Daily Rate minus the sum of (Staffing per Day Rate plus Program Support Rate plus Employee Related Expense Rate plus Client Programming and Supports Rate plus Program Facility Rate)" sqref="D19:D20" xr:uid="{00000000-0002-0000-0700-00000B000000}"/>
    <dataValidation allowBlank="1" showInputMessage="1" showErrorMessage="1" prompt="Daily Rate formula is equal to Total Daily Rate" sqref="B24" xr:uid="{00000000-0002-0000-0700-00000C000000}"/>
    <dataValidation allowBlank="1" showInputMessage="1" showErrorMessage="1" prompt="Daily Rate Calculation formula is equal to sum of(Staffing per Day Rate plus Program Support Rate plus Employee Related Expense Rate plus Client Programming and Supports Rate plus Program Facility Rate) divided by(one minus G&amp;A Standard)" sqref="D24" xr:uid="{00000000-0002-0000-0700-00000D000000}"/>
    <dataValidation allowBlank="1" showInputMessage="1" showErrorMessage="1" prompt="Budget Neutrality Rate" sqref="B21 B26" xr:uid="{00000000-0002-0000-0700-00000E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21" xr:uid="{00000000-0002-0000-0700-00000F000000}"/>
    <dataValidation allowBlank="1" showInputMessage="1" showErrorMessage="1" prompt="Unit Regional Variance formula is Unit Rate multiplied by the appropriate Regional Variance Factor" sqref="B22" xr:uid="{00000000-0002-0000-0700-000010000000}"/>
    <dataValidation allowBlank="1" showInputMessage="1" showErrorMessage="1" prompt="Cost of Living Adjustment formula is Original Total Rate multiplied by the COLA" sqref="B45 B33 B39" xr:uid="{00000000-0002-0000-0700-000011000000}"/>
    <dataValidation allowBlank="1" showInputMessage="1" showErrorMessage="1" prompt="4/1/2014 COLA" sqref="B32 B38 B44" xr:uid="{00000000-0002-0000-0700-000012000000}"/>
    <dataValidation allowBlank="1" showInputMessage="1" showErrorMessage="1" prompt="Original Total Daily Rate formula is the Daily Rate plus Budget Neutrality Factor" sqref="B30" xr:uid="{00000000-0002-0000-0700-000013000000}"/>
    <dataValidation allowBlank="1" showInputMessage="1" showErrorMessage="1" prompt="Post COLA Total Daily Rate formula is Daily Rate plus Cost of Living Adjustment" sqref="B36 B42 B48" xr:uid="{00000000-0002-0000-0700-000014000000}"/>
    <dataValidation allowBlank="1" showInputMessage="1" showErrorMessage="1" prompt="Daily Budget Neutrality formula is Daily Rate minus Daily Rate Base" sqref="B27:B28" xr:uid="{00000000-0002-0000-0700-000015000000}"/>
  </dataValidations>
  <pageMargins left="0.75" right="0.75" top="1.37" bottom="1" header="0.5" footer="0.5"/>
  <pageSetup scale="79" orientation="portrait" r:id="rId1"/>
  <headerFooter alignWithMargins="0">
    <oddHeader>&amp;C&amp;G</oddHeader>
    <oddFooter>&amp;LDWRS Draft framework for Adult Day Care Services - &amp;A&amp;R&amp;P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4:C25"/>
  <sheetViews>
    <sheetView topLeftCell="A14" workbookViewId="0">
      <selection activeCell="C25" sqref="C25"/>
    </sheetView>
  </sheetViews>
  <sheetFormatPr defaultRowHeight="12.75" x14ac:dyDescent="0.2"/>
  <cols>
    <col min="1" max="1" width="10.140625" bestFit="1" customWidth="1"/>
    <col min="2" max="2" width="50.5703125" customWidth="1"/>
  </cols>
  <sheetData>
    <row r="4" spans="1:3" x14ac:dyDescent="0.2">
      <c r="A4" t="s">
        <v>101</v>
      </c>
      <c r="B4" t="s">
        <v>102</v>
      </c>
    </row>
    <row r="5" spans="1:3" x14ac:dyDescent="0.2">
      <c r="A5" s="93">
        <v>41610</v>
      </c>
      <c r="B5" t="s">
        <v>99</v>
      </c>
      <c r="C5" t="s">
        <v>114</v>
      </c>
    </row>
    <row r="6" spans="1:3" x14ac:dyDescent="0.2">
      <c r="A6" s="93">
        <v>41684</v>
      </c>
      <c r="B6" t="s">
        <v>100</v>
      </c>
      <c r="C6" t="s">
        <v>114</v>
      </c>
    </row>
    <row r="7" spans="1:3" x14ac:dyDescent="0.2">
      <c r="A7" s="93">
        <v>41709</v>
      </c>
      <c r="B7" t="s">
        <v>103</v>
      </c>
      <c r="C7" t="s">
        <v>115</v>
      </c>
    </row>
    <row r="8" spans="1:3" x14ac:dyDescent="0.2">
      <c r="A8" s="93">
        <v>41808</v>
      </c>
      <c r="B8" t="s">
        <v>108</v>
      </c>
      <c r="C8" t="s">
        <v>116</v>
      </c>
    </row>
    <row r="9" spans="1:3" x14ac:dyDescent="0.2">
      <c r="A9" s="93">
        <v>42164</v>
      </c>
      <c r="B9" s="94" t="s">
        <v>112</v>
      </c>
      <c r="C9" t="s">
        <v>113</v>
      </c>
    </row>
    <row r="10" spans="1:3" ht="25.5" x14ac:dyDescent="0.2">
      <c r="A10" s="93">
        <v>42887</v>
      </c>
      <c r="B10" s="113" t="s">
        <v>230</v>
      </c>
      <c r="C10" s="114" t="s">
        <v>231</v>
      </c>
    </row>
    <row r="11" spans="1:3" x14ac:dyDescent="0.2">
      <c r="A11" s="93">
        <v>43101</v>
      </c>
      <c r="B11" s="114" t="s">
        <v>232</v>
      </c>
      <c r="C11" s="114" t="s">
        <v>233</v>
      </c>
    </row>
    <row r="12" spans="1:3" x14ac:dyDescent="0.2">
      <c r="A12" s="93">
        <v>43282</v>
      </c>
      <c r="B12" s="114" t="s">
        <v>246</v>
      </c>
      <c r="C12" s="114" t="s">
        <v>247</v>
      </c>
    </row>
    <row r="13" spans="1:3" x14ac:dyDescent="0.2">
      <c r="A13" s="93">
        <v>43282</v>
      </c>
      <c r="B13" s="114" t="s">
        <v>248</v>
      </c>
      <c r="C13" s="114" t="s">
        <v>247</v>
      </c>
    </row>
    <row r="14" spans="1:3" ht="25.5" x14ac:dyDescent="0.2">
      <c r="A14" s="93">
        <v>43466</v>
      </c>
      <c r="B14" s="113" t="s">
        <v>250</v>
      </c>
      <c r="C14" s="114" t="s">
        <v>249</v>
      </c>
    </row>
    <row r="15" spans="1:3" x14ac:dyDescent="0.2">
      <c r="A15" s="93">
        <v>43831</v>
      </c>
      <c r="B15" s="114" t="s">
        <v>252</v>
      </c>
      <c r="C15" s="114" t="s">
        <v>251</v>
      </c>
    </row>
    <row r="16" spans="1:3" x14ac:dyDescent="0.2">
      <c r="A16" s="93">
        <v>43831</v>
      </c>
      <c r="B16" s="114" t="s">
        <v>254</v>
      </c>
      <c r="C16" s="114" t="s">
        <v>253</v>
      </c>
    </row>
    <row r="17" spans="1:3" x14ac:dyDescent="0.2">
      <c r="A17" s="93">
        <v>44197</v>
      </c>
      <c r="B17" s="114" t="s">
        <v>271</v>
      </c>
      <c r="C17" s="114" t="s">
        <v>269</v>
      </c>
    </row>
    <row r="18" spans="1:3" x14ac:dyDescent="0.2">
      <c r="A18" s="93">
        <v>44378</v>
      </c>
      <c r="B18" s="114" t="s">
        <v>271</v>
      </c>
      <c r="C18" s="114" t="s">
        <v>270</v>
      </c>
    </row>
    <row r="19" spans="1:3" ht="76.5" x14ac:dyDescent="0.2">
      <c r="A19" s="93">
        <v>44562</v>
      </c>
      <c r="B19" s="94" t="s">
        <v>272</v>
      </c>
      <c r="C19" s="114" t="s">
        <v>273</v>
      </c>
    </row>
    <row r="20" spans="1:3" x14ac:dyDescent="0.2">
      <c r="A20" s="93">
        <v>44720</v>
      </c>
      <c r="B20" s="114" t="s">
        <v>274</v>
      </c>
      <c r="C20" s="114" t="s">
        <v>275</v>
      </c>
    </row>
    <row r="21" spans="1:3" x14ac:dyDescent="0.2">
      <c r="A21" s="93">
        <v>44844</v>
      </c>
      <c r="B21" s="114" t="s">
        <v>271</v>
      </c>
      <c r="C21" s="114" t="s">
        <v>276</v>
      </c>
    </row>
    <row r="22" spans="1:3" x14ac:dyDescent="0.2">
      <c r="A22" s="93">
        <v>45245</v>
      </c>
      <c r="B22" s="114" t="s">
        <v>277</v>
      </c>
      <c r="C22" s="114" t="s">
        <v>278</v>
      </c>
    </row>
    <row r="23" spans="1:3" x14ac:dyDescent="0.2">
      <c r="A23" s="93">
        <v>45631</v>
      </c>
      <c r="B23" s="114" t="s">
        <v>271</v>
      </c>
      <c r="C23" s="114" t="s">
        <v>279</v>
      </c>
    </row>
    <row r="24" spans="1:3" x14ac:dyDescent="0.2">
      <c r="A24" s="93">
        <v>45896</v>
      </c>
      <c r="B24" s="114" t="s">
        <v>280</v>
      </c>
      <c r="C24" s="114" t="s">
        <v>281</v>
      </c>
    </row>
    <row r="25" spans="1:3" x14ac:dyDescent="0.2">
      <c r="A25" s="93">
        <v>45903</v>
      </c>
      <c r="B25" s="114" t="s">
        <v>282</v>
      </c>
      <c r="C25" s="114" t="s">
        <v>281</v>
      </c>
    </row>
  </sheetData>
  <phoneticPr fontId="1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R22.6</Category_x002d_Req>
    <Sub_x0020_category_x002d_req_x003a_ xmlns="39dc04e4-1dc7-4207-b25c-d7db9724c689">Frameworks</Sub_x0020_category_x002d_req_x003a_>
    <_dlc_DocId xmlns="0cdeeaad-74a8-4021-893f-c7b31297a14c">S2EJPDAADAY4-1521811817-564</_dlc_DocId>
    <_dlc_DocIdUrl xmlns="0cdeeaad-74a8-4021-893f-c7b31297a14c">
      <Url>https://workplace/cc/MnSPA/_layouts/15/DocIdRedir.aspx?ID=S2EJPDAADAY4-1521811817-564</Url>
      <Description>S2EJPDAADAY4-1521811817-564</Description>
    </_dlc_DocIdUrl>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B28BE0-311D-47C1-B7AF-5D1C205F4510}">
  <ds:schemaRefs>
    <ds:schemaRef ds:uri="http://schemas.microsoft.com/sharepoint/events"/>
  </ds:schemaRefs>
</ds:datastoreItem>
</file>

<file path=customXml/itemProps2.xml><?xml version="1.0" encoding="utf-8"?>
<ds:datastoreItem xmlns:ds="http://schemas.openxmlformats.org/officeDocument/2006/customXml" ds:itemID="{4DBB12CE-3309-4B14-A0AC-30E89203AE99}">
  <ds:schemaRefs>
    <ds:schemaRef ds:uri="http://purl.org/dc/elements/1.1/"/>
    <ds:schemaRef ds:uri="http://schemas.microsoft.com/office/2006/metadata/properties"/>
    <ds:schemaRef ds:uri="0cdeeaad-74a8-4021-893f-c7b31297a14c"/>
    <ds:schemaRef ds:uri="http://purl.org/dc/terms/"/>
    <ds:schemaRef ds:uri="39dc04e4-1dc7-4207-b25c-d7db9724c68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5152E68-36E8-4B5D-AAE8-B567AEA99275}">
  <ds:schemaRefs>
    <ds:schemaRef ds:uri="http://schemas.microsoft.com/office/2006/metadata/longProperties"/>
  </ds:schemaRefs>
</ds:datastoreItem>
</file>

<file path=customXml/itemProps4.xml><?xml version="1.0" encoding="utf-8"?>
<ds:datastoreItem xmlns:ds="http://schemas.openxmlformats.org/officeDocument/2006/customXml" ds:itemID="{D38C64E8-67BE-4107-9B05-E933137F79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301E87F-959F-4359-88B0-7CD488FC49FA}">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Direct Staffing</vt:lpstr>
      <vt:lpstr>Program Plan Support</vt:lpstr>
      <vt:lpstr>Emp. Related Exp.</vt:lpstr>
      <vt:lpstr>Client Programming &amp; Supports</vt:lpstr>
      <vt:lpstr>Program Facility</vt:lpstr>
      <vt:lpstr>Program Related Expenses</vt:lpstr>
      <vt:lpstr>Regional Variance Factor</vt:lpstr>
      <vt:lpstr>Prevocational Rate Framework</vt:lpstr>
      <vt:lpstr>Version</vt:lpstr>
      <vt:lpstr>Budget_Neutrality</vt:lpstr>
      <vt:lpstr>columntitleregion1.b14.g20.1</vt:lpstr>
      <vt:lpstr>Customization</vt:lpstr>
      <vt:lpstr>DirectStaff</vt:lpstr>
      <vt:lpstr>LPN_Hours</vt:lpstr>
      <vt:lpstr>'Program Plan Support'!Print_Area</vt:lpstr>
      <vt:lpstr>Relief_Staff</vt:lpstr>
      <vt:lpstr>RN_Hours</vt:lpstr>
      <vt:lpstr>Supervision</vt:lpstr>
      <vt:lpstr>titleregion1.b5.g6.1</vt:lpstr>
      <vt:lpstr>titleregion2.b9.g11.1</vt:lpstr>
      <vt:lpstr>TotalStaffing</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PrevocDay v16</dc:title>
  <dc:creator>pwmfb67</dc:creator>
  <cp:lastModifiedBy>Koepsell, Sara (DHS)</cp:lastModifiedBy>
  <cp:lastPrinted>2010-07-26T14:38:27Z</cp:lastPrinted>
  <dcterms:created xsi:type="dcterms:W3CDTF">2009-10-20T14:58:44Z</dcterms:created>
  <dcterms:modified xsi:type="dcterms:W3CDTF">2025-09-03T13:51:03Z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Order">
    <vt:lpwstr>17000.0000000000</vt:lpwstr>
  </property>
  <property fmtid="{D5CDD505-2E9C-101B-9397-08002B2CF9AE}" pid="7" name="_dlc_DocId">
    <vt:lpwstr>S2EJPDAADAY4-1521811817-564</vt:lpwstr>
  </property>
  <property fmtid="{D5CDD505-2E9C-101B-9397-08002B2CF9AE}" pid="8" name="_dlc_DocIdItemGuid">
    <vt:lpwstr>1f95cfab-540b-4da0-8ab8-34197a48e469</vt:lpwstr>
  </property>
  <property fmtid="{D5CDD505-2E9C-101B-9397-08002B2CF9AE}" pid="9" name="_dlc_DocIdUrl">
    <vt:lpwstr>https://workplace/cc/MnSPA/_layouts/15/DocIdRedir.aspx?ID=S2EJPDAADAY4-1521811817-564, S2EJPDAADAY4-1521811817-564</vt:lpwstr>
  </property>
</Properties>
</file>