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E9B1CF8D-0366-4060-8021-54237B87E90D}" xr6:coauthVersionLast="47" xr6:coauthVersionMax="47" xr10:uidLastSave="{00000000-0000-0000-0000-000000000000}"/>
  <bookViews>
    <workbookView xWindow="29850" yWindow="3675"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Day Support Rate Framework" sheetId="9" r:id="rId8"/>
    <sheet name="Version" sheetId="15" state="hidden" r:id="rId9"/>
  </sheets>
  <definedNames>
    <definedName name="Budget_Neutrality">'Day Support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H5" i="14"/>
  <c r="H9" i="11"/>
  <c r="I9" i="10"/>
  <c r="I10" i="10"/>
  <c r="C6" i="10" l="1"/>
  <c r="C10" i="10" s="1"/>
  <c r="E10" i="10" s="1"/>
  <c r="F10" i="10" s="1"/>
  <c r="D27" i="10"/>
  <c r="B7" i="16"/>
  <c r="B22" i="9" s="1"/>
  <c r="B5" i="16"/>
  <c r="D23" i="10"/>
  <c r="G27" i="9"/>
  <c r="G28" i="9" s="1"/>
  <c r="E14" i="10"/>
  <c r="F14" i="10" s="1"/>
  <c r="I12" i="10"/>
  <c r="I11" i="10"/>
  <c r="I8" i="10"/>
  <c r="I7" i="10"/>
  <c r="I6" i="10"/>
  <c r="I5" i="10"/>
  <c r="I4" i="10"/>
  <c r="I3" i="10"/>
  <c r="D18" i="10"/>
  <c r="E18" i="10"/>
  <c r="F18" i="10"/>
  <c r="C9" i="11"/>
  <c r="B13" i="9"/>
  <c r="E8" i="6"/>
  <c r="B19" i="9"/>
  <c r="B7" i="9"/>
  <c r="C19" i="3"/>
  <c r="B10" i="9"/>
  <c r="A5" i="14"/>
  <c r="C5" i="14" s="1"/>
  <c r="B16" i="9" s="1"/>
  <c r="D16" i="9" s="1"/>
  <c r="D24" i="9" l="1"/>
  <c r="B24" i="9" s="1"/>
  <c r="G29" i="9" s="1"/>
  <c r="B27" i="9" s="1"/>
  <c r="D22" i="9"/>
  <c r="D31" i="10"/>
  <c r="C34" i="10" s="1"/>
  <c r="B4" i="9" s="1"/>
  <c r="D4" i="9" s="1"/>
  <c r="B30" i="9" l="1"/>
  <c r="B33" i="9" s="1"/>
  <c r="B36" i="9" s="1"/>
  <c r="B39" i="9" s="1"/>
  <c r="B42" i="9" s="1"/>
  <c r="B45" i="9" s="1"/>
  <c r="B48" i="9" s="1"/>
  <c r="D7" i="9"/>
  <c r="D10" i="9" s="1"/>
  <c r="D13" i="9" l="1"/>
  <c r="E19" i="9" s="1"/>
  <c r="D19" i="9" s="1"/>
</calcChain>
</file>

<file path=xl/sharedStrings.xml><?xml version="1.0" encoding="utf-8"?>
<sst xmlns="http://schemas.openxmlformats.org/spreadsheetml/2006/main" count="402" uniqueCount="296">
  <si>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</si>
  <si>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</si>
  <si>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</si>
  <si>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</si>
  <si>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</si>
  <si>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</si>
  <si>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</si>
  <si>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</si>
  <si>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</si>
  <si>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</si>
  <si>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</si>
  <si>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</si>
  <si>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</si>
  <si>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</si>
  <si>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</si>
  <si>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</si>
  <si>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</si>
  <si>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</si>
  <si>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</si>
  <si>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</si>
  <si>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</si>
  <si>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</si>
  <si>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</si>
  <si>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</si>
  <si>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</si>
  <si>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</si>
  <si>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</si>
  <si>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</si>
  <si>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</si>
  <si>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</si>
  <si>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</si>
  <si>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</si>
  <si>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</si>
  <si>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</si>
  <si>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</si>
  <si>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</si>
  <si>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</si>
  <si>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</si>
  <si>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</si>
  <si>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</si>
  <si>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</si>
  <si>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</si>
  <si>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</si>
  <si>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</si>
  <si>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</si>
  <si>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</si>
  <si>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</si>
  <si>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</si>
  <si>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</si>
  <si>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</si>
  <si>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</si>
  <si>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</si>
  <si>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</si>
  <si>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</si>
  <si>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</si>
  <si>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</si>
  <si>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</si>
  <si>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</si>
  <si>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</si>
  <si>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</si>
  <si>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</si>
  <si>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</si>
  <si>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</si>
  <si>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</si>
  <si>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</si>
  <si>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</si>
  <si>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</si>
  <si>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</si>
  <si>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</si>
  <si>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</si>
  <si>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</si>
  <si>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</si>
  <si>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</si>
  <si>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</si>
  <si>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</si>
  <si>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</si>
  <si>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</si>
  <si>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</si>
  <si>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</si>
  <si>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</si>
  <si>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</si>
  <si>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</si>
  <si>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</si>
  <si>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</si>
  <si>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</si>
  <si>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</si>
  <si>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RN Option</t>
  </si>
  <si>
    <t>RN</t>
  </si>
  <si>
    <t>RN Amount</t>
  </si>
  <si>
    <t>LPN</t>
  </si>
  <si>
    <t>LPN Amount</t>
  </si>
  <si>
    <t>RN Unit Wage</t>
  </si>
  <si>
    <t>LPN Unit Wage</t>
  </si>
  <si>
    <t>LPN Option</t>
  </si>
  <si>
    <t>Implementation version</t>
  </si>
  <si>
    <t>reordered RN/LPN fields</t>
  </si>
  <si>
    <t>updated precision to two on all sheets, except last totals sheet updated to a precision of 4</t>
  </si>
  <si>
    <t>updated to reflect 4/1/2014 COLA increase of 1%</t>
  </si>
  <si>
    <t>Original Total Unit Rate</t>
  </si>
  <si>
    <t>4/1/2014 COLA</t>
  </si>
  <si>
    <t>Cost of Living Adjustment</t>
  </si>
  <si>
    <t>Post COLA Total Unit Rate</t>
  </si>
  <si>
    <t>updated to reflect 7/1/2014 COLA increase of 5%</t>
  </si>
  <si>
    <t>7/1/2014 COLA</t>
  </si>
  <si>
    <t>7/1/15 COLA increase of 1% added</t>
  </si>
  <si>
    <t>Version 4</t>
  </si>
  <si>
    <t>Version 1</t>
  </si>
  <si>
    <t>Version 2</t>
  </si>
  <si>
    <t>Version 3</t>
  </si>
  <si>
    <t>7/1/2015 COLA</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</si>
  <si>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</si>
  <si>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</si>
  <si>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</si>
  <si>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</si>
  <si>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</si>
  <si>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</si>
  <si>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</si>
  <si>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</si>
  <si>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</si>
  <si>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</si>
  <si>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</si>
  <si>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</si>
  <si>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</si>
  <si>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</si>
  <si>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</si>
  <si>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</si>
  <si>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</si>
  <si>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</si>
  <si>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</si>
  <si>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</si>
  <si>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</si>
  <si>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</si>
  <si>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</si>
  <si>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</si>
  <si>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</si>
  <si>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</si>
  <si>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</si>
  <si>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</si>
  <si>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</si>
  <si>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</si>
  <si>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</si>
  <si>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</si>
  <si>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</si>
  <si>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</si>
  <si>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</si>
  <si>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</si>
  <si>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</si>
  <si>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</si>
  <si>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</si>
  <si>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</si>
  <si>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</si>
  <si>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</si>
  <si>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</si>
  <si>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</si>
  <si>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</si>
  <si>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</si>
  <si>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</si>
  <si>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</si>
  <si>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</si>
  <si>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</si>
  <si>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</si>
  <si>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</si>
  <si>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</si>
  <si>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</si>
  <si>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</si>
  <si>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</si>
  <si>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</si>
  <si>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</si>
  <si>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</si>
  <si>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</si>
  <si>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</si>
  <si>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</si>
  <si>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</si>
  <si>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</si>
  <si>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</si>
  <si>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</si>
  <si>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</si>
  <si>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</si>
  <si>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</si>
  <si>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</si>
  <si>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</si>
  <si>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</si>
  <si>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</si>
  <si>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</si>
  <si>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</si>
  <si>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</si>
  <si>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</si>
  <si>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</si>
  <si>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</si>
  <si>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</si>
  <si>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</si>
  <si>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</si>
  <si>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</si>
  <si>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</si>
  <si>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</si>
  <si>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</si>
  <si>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</si>
  <si>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</si>
  <si>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</si>
  <si>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</si>
  <si>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</si>
  <si>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</si>
  <si>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</si>
  <si>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</si>
  <si>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</si>
  <si>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</si>
  <si>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</si>
  <si>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</si>
  <si>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</si>
  <si>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</si>
  <si>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</si>
  <si>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</si>
  <si>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</si>
  <si>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</si>
  <si>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</si>
  <si>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</si>
  <si>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</si>
  <si>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</si>
  <si>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</si>
  <si>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</si>
  <si>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Post 4/1/14 COLA Rate</t>
  </si>
  <si>
    <t>Post 7/1/14 COLA Rate</t>
  </si>
  <si>
    <t>Post 7/1/15 COLA Rate</t>
  </si>
  <si>
    <t>MnSPA</t>
  </si>
  <si>
    <t>Regional Variance Factor added</t>
  </si>
  <si>
    <t>Version 5</t>
  </si>
  <si>
    <t>Version 6</t>
  </si>
  <si>
    <t>Budget Neutrality Factor change from 100% to 105.1%</t>
  </si>
  <si>
    <t>Facilty Use charge changed from $19.30 to xyz</t>
  </si>
  <si>
    <t>Update RN/LPN units selection from Yes/No options to selection of 0-5 values.  This syncs up Excel framework with current capabilities in RMS.</t>
  </si>
  <si>
    <t>Updateed wages and component values for 7/1/17 legislation</t>
  </si>
  <si>
    <t>Version 7</t>
  </si>
  <si>
    <t>Version 8</t>
  </si>
  <si>
    <t>Updated Regional Variance Factors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</si>
  <si>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</si>
  <si>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</si>
  <si>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</si>
  <si>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</si>
  <si>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</si>
  <si>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</si>
  <si>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</si>
  <si>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</si>
  <si>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</si>
  <si>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</si>
  <si>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</si>
  <si>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</si>
  <si>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</si>
  <si>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</si>
  <si>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Limit RN and LPN units to 1</t>
  </si>
  <si>
    <t>Version 10</t>
  </si>
  <si>
    <t>RN Wage increase, Absence/Utilization increase, and Supervisor Wage increase</t>
  </si>
  <si>
    <t>Version 11</t>
  </si>
  <si>
    <t>Hidden Budget Neutrality Factor</t>
  </si>
  <si>
    <t>Version 12</t>
  </si>
  <si>
    <t>TBD</t>
  </si>
  <si>
    <t>Added CWF</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</si>
  <si>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</si>
  <si>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</si>
  <si>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</si>
  <si>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</si>
  <si>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</si>
  <si>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</si>
  <si>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</si>
  <si>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</si>
  <si>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</si>
  <si>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</si>
  <si>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</si>
  <si>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</si>
  <si>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Direct service staff necessary to support and related to the provision of Day Support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</si>
  <si>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Day Support Services to provide in-program transportation for the participant to increase access to the community outside the DT&amp;H location                                                                 - State plan or other available waiver services must be accessed first, and those services must be billed separately.
</t>
  </si>
  <si>
    <t>FRAMEWORK FOR DAY SUPPORT SERVICES</t>
  </si>
  <si>
    <t>Version 13</t>
  </si>
  <si>
    <t>Added Remote 1:1 option</t>
  </si>
  <si>
    <t>Version 14</t>
  </si>
  <si>
    <t>New value for direct care staff wage,
supervisor wage,
RN wage,
LPN wage,
client programming and support component,
program facility component</t>
  </si>
  <si>
    <t>Version 15</t>
  </si>
  <si>
    <t>1:1</t>
  </si>
  <si>
    <t>1:2</t>
  </si>
  <si>
    <t>1:3</t>
  </si>
  <si>
    <t>1:4</t>
  </si>
  <si>
    <t>1:5</t>
  </si>
  <si>
    <t>1:6</t>
  </si>
  <si>
    <t>1:7</t>
  </si>
  <si>
    <t>1:8</t>
  </si>
  <si>
    <t>1:9</t>
  </si>
  <si>
    <t>1:10</t>
  </si>
  <si>
    <t>Updated staffing ratio and RVF</t>
  </si>
  <si>
    <t>Version 16</t>
  </si>
  <si>
    <t>No Change</t>
  </si>
  <si>
    <t>Version 17</t>
  </si>
  <si>
    <t>Changes to tabs-direct staffing,client programming,program facility</t>
  </si>
  <si>
    <t>Version 18</t>
  </si>
  <si>
    <t>Version 19</t>
  </si>
  <si>
    <t>Increase to DC Wage, sup wage, RN wage, LPN Wage</t>
  </si>
  <si>
    <t>Version 20</t>
  </si>
  <si>
    <t>Update DC wage, sup wage; increase client prog &amp;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</si>
</sst>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trike/>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4">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3" fillId="2" borderId="0" xfId="0" applyFont="1" applyFill="1" applyAlignment="1">
      <alignment horizontal="left"/>
    </xf>
    <xf numFmtId="0" fontId="0" fillId="0" borderId="0" xfId="0" applyAlignment="1">
      <alignment wrapText="1"/>
    </xf>
    <xf numFmtId="0" fontId="0" fillId="0" borderId="0" xfId="0" applyAlignment="1">
      <alignment horizontal="left"/>
    </xf>
    <xf numFmtId="0" fontId="8" fillId="8" borderId="28" xfId="0" applyFont="1" applyFill="1" applyBorder="1" applyAlignment="1">
      <alignment vertical="center"/>
    </xf>
    <xf numFmtId="0" fontId="8" fillId="8" borderId="28" xfId="0" applyFont="1" applyFill="1" applyBorder="1" applyAlignment="1">
      <alignment horizontal="left" vertical="center"/>
    </xf>
    <xf numFmtId="0" fontId="9" fillId="5" borderId="28" xfId="0" applyFont="1" applyFill="1" applyBorder="1" applyAlignment="1">
      <alignment vertical="center"/>
    </xf>
    <xf numFmtId="0" fontId="9" fillId="5"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0" fontId="10" fillId="2" borderId="0" xfId="0" applyFont="1" applyFill="1"/>
    <xf numFmtId="0" fontId="10" fillId="4" borderId="0" xfId="0" applyFont="1" applyFill="1"/>
    <xf numFmtId="10" fontId="1" fillId="9" borderId="1" xfId="5" applyNumberFormat="1" applyFont="1" applyFill="1" applyBorder="1"/>
    <xf numFmtId="44" fontId="10" fillId="9" borderId="0" xfId="2" applyFont="1" applyFill="1"/>
    <xf numFmtId="165" fontId="10" fillId="4" borderId="0" xfId="0" applyNumberFormat="1" applyFont="1" applyFill="1"/>
    <xf numFmtId="0" fontId="1" fillId="4" borderId="0" xfId="0" applyFont="1" applyFill="1"/>
    <xf numFmtId="44" fontId="11" fillId="9" borderId="0" xfId="0" applyNumberFormat="1" applyFont="1" applyFill="1"/>
    <xf numFmtId="0" fontId="11" fillId="4" borderId="0" xfId="0" applyFont="1" applyFill="1"/>
    <xf numFmtId="44" fontId="1" fillId="0" borderId="1" xfId="2" applyNumberFormat="1" applyFont="1" applyFill="1" applyBorder="1"/>
    <xf numFmtId="0" fontId="11" fillId="2"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9"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10" fillId="4" borderId="0" xfId="0" applyFont="1" applyFill="1" applyProtection="1">
      <protection hidden="1"/>
    </xf>
    <xf numFmtId="0" fontId="11"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0"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0" fillId="4" borderId="0" xfId="2" applyFont="1" applyFill="1" applyProtection="1">
      <protection hidden="1"/>
    </xf>
    <xf numFmtId="0" fontId="11" fillId="2" borderId="0" xfId="0" applyFont="1" applyFill="1" applyProtection="1">
      <protection hidden="1"/>
    </xf>
    <xf numFmtId="0" fontId="10"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14" fontId="7" fillId="0" borderId="0" xfId="0" applyNumberFormat="1" applyFont="1" applyProtection="1">
      <protection hidden="1"/>
    </xf>
    <xf numFmtId="0" fontId="7" fillId="0" borderId="0" xfId="0" applyFont="1" applyAlignment="1" applyProtection="1">
      <alignment wrapText="1"/>
      <protection hidden="1"/>
    </xf>
    <xf numFmtId="0" fontId="7" fillId="0" borderId="0" xfId="0" applyFon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1" fillId="0" borderId="0" xfId="0" applyFont="1"/>
    <xf numFmtId="0" fontId="3" fillId="2" borderId="0" xfId="4" applyFont="1" applyFill="1"/>
    <xf numFmtId="44" fontId="1" fillId="2" borderId="0" xfId="3" applyNumberFormat="1" applyFont="1" applyFill="1" applyBorder="1"/>
    <xf numFmtId="0" fontId="1" fillId="0" borderId="0" xfId="4" applyFont="1" applyFill="1" applyBorder="1" applyAlignment="1">
      <alignment horizontal="left"/>
    </xf>
    <xf numFmtId="0" fontId="0" fillId="0" borderId="0" xfId="0" applyAlignment="1" applyProtection="1">
      <alignment horizontal="right"/>
      <protection hidden="1"/>
    </xf>
    <xf numFmtId="14" fontId="0" fillId="0" borderId="0" xfId="0" applyNumberFormat="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44" fontId="1" fillId="6" borderId="21" xfId="2" applyFont="1" applyFill="1" applyBorder="1" applyAlignment="1" applyProtection="1">
      <alignment vertical="top"/>
      <protection locked="0"/>
    </xf>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C15" sqref="C15"/>
    </sheetView>
  </sheetViews>
  <sheetFormatPr defaultColWidth="9.140625" defaultRowHeight="12.75" x14ac:dyDescent="0.2"/>
  <cols>
    <col min="1" max="1" width="30.5703125" style="60" customWidth="1"/>
    <col min="2" max="2" width="20.42578125" style="83" customWidth="1"/>
    <col min="3" max="3" width="15" style="83" customWidth="1"/>
    <col min="4" max="4" width="14.7109375" style="84" customWidth="1"/>
    <col min="5" max="5" width="17.42578125" style="84" customWidth="1"/>
    <col min="6" max="6" width="17" style="83" customWidth="1"/>
    <col min="7" max="7" width="9.28515625" style="60" hidden="1" customWidth="1"/>
    <col min="8" max="12" width="9.140625" style="60" hidden="1" customWidth="1"/>
    <col min="13" max="13" width="9.140625" style="60" customWidth="1"/>
    <col min="14" max="16384" width="9.140625" style="60"/>
  </cols>
  <sheetData>
    <row r="1" spans="1:11" ht="15" customHeight="1" x14ac:dyDescent="0.2">
      <c r="A1" s="22" t="s">
        <v>18</v>
      </c>
      <c r="B1" s="22"/>
      <c r="C1" s="60"/>
      <c r="D1" s="60"/>
      <c r="E1" s="60"/>
      <c r="F1" s="60"/>
    </row>
    <row r="2" spans="1:11" ht="15" customHeight="1" thickBot="1" x14ac:dyDescent="0.25">
      <c r="A2" s="87"/>
      <c r="B2" s="87"/>
      <c r="C2" s="60"/>
      <c r="D2" s="60"/>
      <c r="E2" s="60"/>
      <c r="F2" s="60"/>
    </row>
    <row r="3" spans="1:11" ht="15" customHeight="1" x14ac:dyDescent="0.2">
      <c r="A3" s="140" t="s">
        <v>256</v>
      </c>
      <c r="B3" s="140"/>
      <c r="C3" s="140"/>
      <c r="D3" s="60"/>
      <c r="E3" s="60"/>
      <c r="F3" s="60"/>
      <c r="H3" s="61" t="s">
        <v>276</v>
      </c>
      <c r="I3" s="62">
        <f>1/1</f>
        <v>1</v>
      </c>
      <c r="J3" s="62">
        <v>1</v>
      </c>
      <c r="K3" s="63">
        <v>1</v>
      </c>
    </row>
    <row r="4" spans="1:11" ht="15" customHeight="1" x14ac:dyDescent="0.2">
      <c r="A4" s="165" t="s">
        <v>257</v>
      </c>
      <c r="B4" s="166"/>
      <c r="C4" s="157">
        <v>19.149999999999999</v>
      </c>
      <c r="D4" s="60"/>
      <c r="E4" s="60"/>
      <c r="F4" s="60"/>
      <c r="H4" s="64" t="s">
        <v>277</v>
      </c>
      <c r="I4" s="65">
        <f>1/0.548</f>
        <v>1.824817518248175</v>
      </c>
      <c r="J4" s="65">
        <v>2</v>
      </c>
      <c r="K4" s="66">
        <v>0.54800000000000004</v>
      </c>
    </row>
    <row r="5" spans="1:11" ht="15" customHeight="1" x14ac:dyDescent="0.2">
      <c r="A5" s="165" t="s">
        <v>258</v>
      </c>
      <c r="B5" s="166"/>
      <c r="C5" s="158">
        <v>6.7000000000000004E-2</v>
      </c>
      <c r="D5" s="60"/>
      <c r="E5" s="60"/>
      <c r="F5" s="60"/>
      <c r="H5" s="69" t="s">
        <v>278</v>
      </c>
      <c r="I5" s="70">
        <f>1/0.397</f>
        <v>2.5188916876574305</v>
      </c>
      <c r="J5" s="70">
        <v>3</v>
      </c>
      <c r="K5" s="71">
        <v>0.39700000000000002</v>
      </c>
    </row>
    <row r="6" spans="1:11" ht="15" customHeight="1" x14ac:dyDescent="0.2">
      <c r="A6" s="167" t="s">
        <v>259</v>
      </c>
      <c r="B6" s="168"/>
      <c r="C6" s="145">
        <f>ROUND(C4*C5+C4,2)</f>
        <v>20.43</v>
      </c>
      <c r="D6" s="60"/>
      <c r="E6" s="60"/>
      <c r="F6" s="60"/>
      <c r="H6" s="73" t="s">
        <v>279</v>
      </c>
      <c r="I6" s="58">
        <f>1/0.321</f>
        <v>3.1152647975077881</v>
      </c>
      <c r="J6" s="58">
        <v>4</v>
      </c>
      <c r="K6" s="74">
        <v>0.32100000000000001</v>
      </c>
    </row>
    <row r="7" spans="1:11" ht="15" customHeight="1" x14ac:dyDescent="0.2">
      <c r="A7" s="142"/>
      <c r="B7" s="142"/>
      <c r="C7" s="141"/>
      <c r="D7" s="60"/>
      <c r="E7" s="60"/>
      <c r="F7" s="60"/>
      <c r="H7" s="73" t="s">
        <v>280</v>
      </c>
      <c r="I7" s="58">
        <f>1/0.276</f>
        <v>3.6231884057971011</v>
      </c>
      <c r="J7" s="58">
        <v>5</v>
      </c>
      <c r="K7" s="74">
        <v>0.27600000000000002</v>
      </c>
    </row>
    <row r="8" spans="1:11" ht="15" customHeight="1" x14ac:dyDescent="0.2">
      <c r="A8" s="5" t="s">
        <v>261</v>
      </c>
      <c r="B8" s="60"/>
      <c r="C8" s="60"/>
      <c r="D8" s="60"/>
      <c r="E8" s="60"/>
      <c r="F8" s="60"/>
      <c r="H8" s="73" t="s">
        <v>281</v>
      </c>
      <c r="I8" s="58">
        <f>1/0.246</f>
        <v>4.0650406504065044</v>
      </c>
      <c r="J8" s="58">
        <v>6</v>
      </c>
      <c r="K8" s="74">
        <v>0.246</v>
      </c>
    </row>
    <row r="9" spans="1:11" ht="25.5" x14ac:dyDescent="0.2">
      <c r="A9" s="67" t="s">
        <v>0</v>
      </c>
      <c r="B9" s="68" t="s">
        <v>53</v>
      </c>
      <c r="C9" s="54" t="s">
        <v>260</v>
      </c>
      <c r="D9" s="23" t="s">
        <v>73</v>
      </c>
      <c r="E9" s="54" t="s">
        <v>74</v>
      </c>
      <c r="F9" s="55" t="s">
        <v>75</v>
      </c>
      <c r="H9" s="73" t="s">
        <v>282</v>
      </c>
      <c r="I9" s="58">
        <f>1/0.224</f>
        <v>4.4642857142857144</v>
      </c>
      <c r="J9" s="58">
        <v>7</v>
      </c>
      <c r="K9" s="74">
        <v>0.224</v>
      </c>
    </row>
    <row r="10" spans="1:11" ht="15" customHeight="1" x14ac:dyDescent="0.2">
      <c r="A10" s="72" t="s">
        <v>54</v>
      </c>
      <c r="B10" s="154" t="s">
        <v>276</v>
      </c>
      <c r="C10" s="16">
        <f>$C$6</f>
        <v>20.43</v>
      </c>
      <c r="D10" s="50">
        <v>1</v>
      </c>
      <c r="E10" s="16">
        <f>ROUND(C10/4,4)</f>
        <v>5.1074999999999999</v>
      </c>
      <c r="F10" s="108">
        <f>ROUND(E10/(VLOOKUP(B10,H3:K14,2,FALSE)),9)</f>
        <v>5.1074999999999999</v>
      </c>
      <c r="H10" s="46" t="s">
        <v>283</v>
      </c>
      <c r="I10" s="58">
        <f>1/0.208</f>
        <v>4.8076923076923075</v>
      </c>
      <c r="J10" s="58">
        <v>8</v>
      </c>
      <c r="K10" s="74">
        <v>0.20799999999999999</v>
      </c>
    </row>
    <row r="11" spans="1:11" ht="15" customHeight="1" x14ac:dyDescent="0.2">
      <c r="B11" s="60"/>
      <c r="C11" s="60"/>
      <c r="D11" s="60"/>
      <c r="E11" s="60"/>
      <c r="F11" s="60"/>
      <c r="H11" s="46" t="s">
        <v>284</v>
      </c>
      <c r="I11" s="58">
        <f>1/0.196</f>
        <v>5.1020408163265305</v>
      </c>
      <c r="J11" s="58">
        <v>9</v>
      </c>
      <c r="K11" s="74">
        <v>0.19600000000000001</v>
      </c>
    </row>
    <row r="12" spans="1:11" ht="15" customHeight="1" thickBot="1" x14ac:dyDescent="0.25">
      <c r="A12" s="5" t="s">
        <v>262</v>
      </c>
      <c r="B12" s="60"/>
      <c r="C12" s="60"/>
      <c r="D12" s="60"/>
      <c r="E12" s="60"/>
      <c r="F12" s="60"/>
      <c r="H12" s="47" t="s">
        <v>285</v>
      </c>
      <c r="I12" s="59">
        <f>1/0.186</f>
        <v>5.376344086021505</v>
      </c>
      <c r="J12" s="59">
        <v>10</v>
      </c>
      <c r="K12" s="78">
        <v>0.186</v>
      </c>
    </row>
    <row r="13" spans="1:11" ht="25.5" x14ac:dyDescent="0.2">
      <c r="A13" s="48" t="s">
        <v>69</v>
      </c>
      <c r="B13" s="75"/>
      <c r="C13" s="24" t="s">
        <v>16</v>
      </c>
      <c r="D13" s="4" t="s">
        <v>71</v>
      </c>
      <c r="E13" s="4" t="s">
        <v>84</v>
      </c>
      <c r="F13" s="4" t="s">
        <v>76</v>
      </c>
    </row>
    <row r="14" spans="1:11" ht="15" customHeight="1" x14ac:dyDescent="0.2">
      <c r="A14" s="49" t="s">
        <v>69</v>
      </c>
      <c r="B14" s="76"/>
      <c r="C14" s="15">
        <v>23.64</v>
      </c>
      <c r="D14" s="52">
        <v>0.11</v>
      </c>
      <c r="E14" s="50">
        <f>ROUND(D10*D14,2)</f>
        <v>0.11</v>
      </c>
      <c r="F14" s="15">
        <f>ROUND(((C14/4)*E14)/VLOOKUP(B10,H3:K14,2,FALSE),9)</f>
        <v>0.65010000000000001</v>
      </c>
    </row>
    <row r="15" spans="1:11" x14ac:dyDescent="0.2">
      <c r="B15" s="60"/>
      <c r="C15" s="60"/>
      <c r="D15" s="60"/>
      <c r="E15" s="60"/>
      <c r="F15" s="60"/>
    </row>
    <row r="16" spans="1:11" x14ac:dyDescent="0.2">
      <c r="A16" s="8" t="s">
        <v>263</v>
      </c>
      <c r="B16" s="77"/>
      <c r="C16" s="6"/>
      <c r="D16" s="7"/>
      <c r="E16" s="7"/>
      <c r="F16" s="6"/>
    </row>
    <row r="17" spans="1:8" ht="38.25" x14ac:dyDescent="0.2">
      <c r="A17" s="13" t="s">
        <v>23</v>
      </c>
      <c r="B17" s="3" t="s">
        <v>14</v>
      </c>
      <c r="C17" s="4" t="s">
        <v>15</v>
      </c>
      <c r="D17" s="4" t="s">
        <v>79</v>
      </c>
      <c r="E17" s="13" t="s">
        <v>77</v>
      </c>
      <c r="F17" s="4" t="s">
        <v>78</v>
      </c>
    </row>
    <row r="18" spans="1:8" x14ac:dyDescent="0.2">
      <c r="A18" s="51" t="s">
        <v>70</v>
      </c>
      <c r="B18" s="9">
        <v>0</v>
      </c>
      <c r="C18" s="110">
        <v>0</v>
      </c>
      <c r="D18" s="169">
        <f>IF(C18&gt;0,D10,0)</f>
        <v>0</v>
      </c>
      <c r="E18" s="160">
        <f>ROUND((C18*D18)/4,9)</f>
        <v>0</v>
      </c>
      <c r="F18" s="160">
        <f>E18</f>
        <v>0</v>
      </c>
    </row>
    <row r="19" spans="1:8" x14ac:dyDescent="0.2">
      <c r="A19" s="51" t="s">
        <v>48</v>
      </c>
      <c r="B19" s="79">
        <v>2.5</v>
      </c>
      <c r="C19" s="111"/>
      <c r="D19" s="170"/>
      <c r="E19" s="160"/>
      <c r="F19" s="160"/>
    </row>
    <row r="20" spans="1:8" x14ac:dyDescent="0.2">
      <c r="B20" s="60"/>
      <c r="C20" s="60"/>
      <c r="D20" s="60"/>
      <c r="E20" s="60"/>
      <c r="F20" s="60"/>
    </row>
    <row r="21" spans="1:8" x14ac:dyDescent="0.2">
      <c r="A21" s="5" t="s">
        <v>264</v>
      </c>
      <c r="B21" s="60"/>
      <c r="C21" s="60"/>
      <c r="D21" s="60"/>
      <c r="E21" s="60"/>
      <c r="F21" s="60"/>
      <c r="H21" s="60">
        <v>0</v>
      </c>
    </row>
    <row r="22" spans="1:8" x14ac:dyDescent="0.2">
      <c r="A22" s="85" t="s">
        <v>0</v>
      </c>
      <c r="B22" s="85" t="s">
        <v>93</v>
      </c>
      <c r="C22" s="85" t="s">
        <v>92</v>
      </c>
      <c r="D22" s="85" t="s">
        <v>90</v>
      </c>
      <c r="E22" s="60"/>
      <c r="F22" s="60"/>
      <c r="H22" s="60">
        <v>1</v>
      </c>
    </row>
    <row r="23" spans="1:8" x14ac:dyDescent="0.2">
      <c r="A23" s="51" t="s">
        <v>89</v>
      </c>
      <c r="B23" s="86"/>
      <c r="C23" s="16">
        <v>6.2249999999999996</v>
      </c>
      <c r="D23" s="9">
        <f>(C23*B23)</f>
        <v>0</v>
      </c>
      <c r="E23" s="60"/>
      <c r="F23" s="60"/>
      <c r="H23" s="60">
        <v>2</v>
      </c>
    </row>
    <row r="24" spans="1:8" x14ac:dyDescent="0.2">
      <c r="B24" s="60"/>
      <c r="C24" s="60"/>
      <c r="D24" s="60"/>
      <c r="E24" s="60"/>
      <c r="F24" s="60"/>
      <c r="H24" s="60">
        <v>3</v>
      </c>
    </row>
    <row r="25" spans="1:8" x14ac:dyDescent="0.2">
      <c r="A25" s="5" t="s">
        <v>265</v>
      </c>
      <c r="B25" s="60"/>
      <c r="C25" s="60"/>
      <c r="D25" s="60"/>
      <c r="E25" s="60"/>
      <c r="F25" s="60"/>
      <c r="H25" s="60">
        <v>4</v>
      </c>
    </row>
    <row r="26" spans="1:8" x14ac:dyDescent="0.2">
      <c r="A26" s="85" t="s">
        <v>0</v>
      </c>
      <c r="B26" s="85" t="s">
        <v>86</v>
      </c>
      <c r="C26" s="85" t="s">
        <v>91</v>
      </c>
      <c r="D26" s="85" t="s">
        <v>88</v>
      </c>
      <c r="E26" s="60"/>
      <c r="F26" s="60"/>
      <c r="H26" s="60">
        <v>5</v>
      </c>
    </row>
    <row r="27" spans="1:8" x14ac:dyDescent="0.2">
      <c r="A27" s="51" t="s">
        <v>87</v>
      </c>
      <c r="B27" s="86"/>
      <c r="C27" s="16">
        <v>10.2675</v>
      </c>
      <c r="D27" s="9">
        <f>(C27*B27)</f>
        <v>0</v>
      </c>
      <c r="E27" s="60"/>
      <c r="F27" s="60"/>
    </row>
    <row r="28" spans="1:8" x14ac:dyDescent="0.2">
      <c r="B28" s="60"/>
      <c r="C28" s="60"/>
      <c r="D28" s="60"/>
      <c r="E28" s="60"/>
      <c r="F28" s="60"/>
    </row>
    <row r="29" spans="1:8" x14ac:dyDescent="0.2">
      <c r="A29" s="5" t="s">
        <v>266</v>
      </c>
      <c r="B29" s="60"/>
      <c r="C29" s="60"/>
      <c r="D29" s="60"/>
      <c r="E29" s="60"/>
      <c r="F29" s="60"/>
    </row>
    <row r="30" spans="1:8" x14ac:dyDescent="0.2">
      <c r="A30" s="48" t="s">
        <v>61</v>
      </c>
      <c r="B30" s="75"/>
      <c r="C30" s="75"/>
      <c r="D30" s="80" t="s">
        <v>17</v>
      </c>
      <c r="E30" s="60"/>
      <c r="F30" s="60"/>
    </row>
    <row r="31" spans="1:8" x14ac:dyDescent="0.2">
      <c r="A31" s="161" t="s">
        <v>29</v>
      </c>
      <c r="B31" s="162"/>
      <c r="C31" s="81">
        <v>8.7099999999999997E-2</v>
      </c>
      <c r="D31" s="9">
        <f>ROUND((F10+F14+F18+D27+D23)*C31,9)</f>
        <v>0.50148696000000004</v>
      </c>
      <c r="E31" s="60"/>
      <c r="F31" s="60"/>
    </row>
    <row r="32" spans="1:8" x14ac:dyDescent="0.2">
      <c r="B32" s="60"/>
      <c r="C32" s="60"/>
      <c r="D32" s="60"/>
      <c r="E32" s="60"/>
      <c r="F32" s="60"/>
    </row>
    <row r="33" spans="1:6" x14ac:dyDescent="0.2">
      <c r="A33" s="5" t="s">
        <v>267</v>
      </c>
      <c r="B33" s="60"/>
      <c r="C33" s="60"/>
      <c r="D33" s="60"/>
      <c r="E33" s="60"/>
      <c r="F33" s="60"/>
    </row>
    <row r="34" spans="1:6" x14ac:dyDescent="0.2">
      <c r="A34" s="163" t="s">
        <v>24</v>
      </c>
      <c r="B34" s="164"/>
      <c r="C34" s="82">
        <f>F10+F14+F18+D27+D23+D31</f>
        <v>6.2590869600000003</v>
      </c>
      <c r="D34" s="60"/>
      <c r="E34" s="60"/>
      <c r="F34" s="60"/>
    </row>
    <row r="35" spans="1:6" x14ac:dyDescent="0.2">
      <c r="B35" s="60"/>
      <c r="C35" s="60"/>
      <c r="D35" s="60"/>
      <c r="E35" s="60"/>
      <c r="F35" s="60"/>
    </row>
    <row r="36" spans="1:6" x14ac:dyDescent="0.2">
      <c r="B36" s="60"/>
      <c r="C36" s="60"/>
      <c r="D36" s="60"/>
      <c r="E36" s="60"/>
      <c r="F36" s="60"/>
    </row>
    <row r="44" spans="1:6" x14ac:dyDescent="0.2">
      <c r="B44" s="171"/>
    </row>
    <row r="45" spans="1:6" ht="19.5" customHeight="1" x14ac:dyDescent="0.2">
      <c r="B45" s="171"/>
    </row>
    <row r="46" spans="1:6" x14ac:dyDescent="0.2">
      <c r="B46" s="171"/>
    </row>
  </sheetData>
  <sheetProtection algorithmName="SHA-512" hashValue="UbV1PrpQwzCHWdslr2ydKf0KZJ0qsIMxj45fyDeNH3p0NAopVGRM2X39483DQaz0+tX2lne/2jVdu7XWxoJocw==" saltValue="U/dyMIHBuKWypKcSsb9Yyg==" spinCount="100000" sheet="1" objects="1" scenarios="1"/>
  <mergeCells count="9">
    <mergeCell ref="B44:B46"/>
    <mergeCell ref="E18:E19"/>
    <mergeCell ref="F18:F19"/>
    <mergeCell ref="A31:B31"/>
    <mergeCell ref="A34:B34"/>
    <mergeCell ref="A4:B4"/>
    <mergeCell ref="A5:B5"/>
    <mergeCell ref="A6:B6"/>
    <mergeCell ref="D18:D19"/>
  </mergeCells>
  <phoneticPr fontId="2" type="noConversion"/>
  <dataValidations xWindow="900" yWindow="207"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B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LPN Units.  Press ALT and the down arrow to bring up the drop down options.  Use arrow keys to scroll through the options and press ENTER on the appropriate selection." sqref="B23" xr:uid="{00000000-0002-0000-0000-000012000000}">
      <formula1>1.00000001</formula1>
    </dataValidation>
    <dataValidation type="decimal" operator="lessThan" allowBlank="1" showInputMessage="1" showErrorMessage="1" prompt="Select #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38.03 divided by four" sqref="C27" xr:uid="{00000000-0002-0000-0000-000014000000}"/>
    <dataValidation allowBlank="1" showInputMessage="1" showErrorMessage="1" prompt="LPN Unit Wage is $23.06 divided by four" sqref="C23" xr:uid="{00000000-0002-0000-0000-000015000000}"/>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85546875" style="1" customWidth="1"/>
    <col min="4" max="7" width="9.140625" style="2"/>
    <col min="8" max="16384" width="9.140625" style="1"/>
  </cols>
  <sheetData>
    <row r="1" spans="1:13" ht="15" x14ac:dyDescent="0.2">
      <c r="A1" s="22" t="s">
        <v>38</v>
      </c>
      <c r="B1" s="22"/>
      <c r="C1" s="22"/>
      <c r="D1" s="28"/>
      <c r="E1" s="28"/>
    </row>
    <row r="2" spans="1:13" x14ac:dyDescent="0.2">
      <c r="A2" s="28"/>
      <c r="B2" s="28"/>
      <c r="C2" s="28"/>
      <c r="D2" s="28"/>
      <c r="E2" s="28"/>
    </row>
    <row r="3" spans="1:13" x14ac:dyDescent="0.2">
      <c r="A3" s="5" t="s">
        <v>39</v>
      </c>
      <c r="D3" s="28"/>
      <c r="E3" s="28"/>
    </row>
    <row r="4" spans="1:13" ht="12.75" customHeight="1" x14ac:dyDescent="0.2">
      <c r="A4" s="172" t="s">
        <v>40</v>
      </c>
      <c r="B4" s="173"/>
      <c r="C4" s="174"/>
      <c r="D4" s="28"/>
      <c r="E4" s="28"/>
    </row>
    <row r="5" spans="1:13" ht="27.75" customHeight="1" x14ac:dyDescent="0.2">
      <c r="A5" s="177" t="s">
        <v>268</v>
      </c>
      <c r="B5" s="178"/>
      <c r="C5" s="179"/>
      <c r="D5" s="28"/>
      <c r="E5" s="28"/>
    </row>
    <row r="6" spans="1:13" x14ac:dyDescent="0.2">
      <c r="A6" s="17"/>
      <c r="B6" s="18" t="s">
        <v>32</v>
      </c>
      <c r="C6" s="19"/>
      <c r="D6" s="28"/>
      <c r="E6" s="28"/>
    </row>
    <row r="7" spans="1:13" x14ac:dyDescent="0.2">
      <c r="A7" s="17"/>
      <c r="B7" s="18" t="s">
        <v>33</v>
      </c>
      <c r="C7" s="14"/>
      <c r="D7" s="28"/>
      <c r="E7" s="28"/>
    </row>
    <row r="8" spans="1:13" x14ac:dyDescent="0.2">
      <c r="A8" s="17"/>
      <c r="B8" s="18" t="s">
        <v>37</v>
      </c>
      <c r="C8" s="14"/>
      <c r="D8" s="28"/>
      <c r="E8" s="28"/>
    </row>
    <row r="9" spans="1:13" x14ac:dyDescent="0.2">
      <c r="A9" s="175" t="s">
        <v>55</v>
      </c>
      <c r="B9" s="176"/>
      <c r="C9" s="40">
        <v>5.6000000000000001E-2</v>
      </c>
      <c r="D9" s="28"/>
      <c r="E9" s="28"/>
    </row>
    <row r="10" spans="1:13" s="2" customFormat="1" x14ac:dyDescent="0.2">
      <c r="A10" s="28"/>
      <c r="B10" s="28"/>
      <c r="C10" s="28"/>
      <c r="D10" s="28"/>
      <c r="E10" s="28"/>
    </row>
    <row r="11" spans="1:13" s="2" customFormat="1" x14ac:dyDescent="0.2">
      <c r="A11" s="28"/>
      <c r="B11" s="28"/>
      <c r="C11" s="28"/>
      <c r="D11" s="28"/>
      <c r="E11" s="28"/>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irb5kMXyv7ik+ZTYP91K+oR+3SGmQTz8CyQU8avNdzx1L9OSG4qW8FVsfLTE0igMrQQK1Etxzwhjuc2oUj6/Yg==" saltValue="XwWh0ILG/PTIs1fzoWfBk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2" t="s">
        <v>30</v>
      </c>
      <c r="B1" s="22"/>
      <c r="C1" s="22"/>
      <c r="D1" s="28"/>
      <c r="E1" s="28"/>
    </row>
    <row r="2" spans="1:5" x14ac:dyDescent="0.2">
      <c r="A2" s="28"/>
      <c r="B2" s="28"/>
      <c r="C2" s="28"/>
      <c r="D2" s="28"/>
      <c r="E2" s="28"/>
    </row>
    <row r="3" spans="1:5" x14ac:dyDescent="0.2">
      <c r="A3" s="5" t="s">
        <v>21</v>
      </c>
      <c r="D3" s="28"/>
      <c r="E3" s="28"/>
    </row>
    <row r="4" spans="1:5" x14ac:dyDescent="0.2">
      <c r="A4" s="185" t="s">
        <v>42</v>
      </c>
      <c r="B4" s="186"/>
      <c r="C4" s="20" t="s">
        <v>20</v>
      </c>
      <c r="D4" s="28"/>
      <c r="E4" s="28"/>
    </row>
    <row r="5" spans="1:5" x14ac:dyDescent="0.2">
      <c r="A5" s="180" t="s">
        <v>27</v>
      </c>
      <c r="B5" s="181"/>
      <c r="C5" s="182">
        <v>0.11559999999999999</v>
      </c>
      <c r="D5" s="28"/>
      <c r="E5" s="28"/>
    </row>
    <row r="6" spans="1:5" x14ac:dyDescent="0.2">
      <c r="A6" s="10"/>
      <c r="B6" s="187" t="s">
        <v>28</v>
      </c>
      <c r="C6" s="183"/>
      <c r="D6" s="28"/>
      <c r="E6" s="28"/>
    </row>
    <row r="7" spans="1:5" x14ac:dyDescent="0.2">
      <c r="A7" s="11"/>
      <c r="B7" s="188"/>
      <c r="C7" s="184"/>
      <c r="D7" s="28"/>
      <c r="E7" s="28"/>
    </row>
    <row r="8" spans="1:5" x14ac:dyDescent="0.2">
      <c r="A8" s="180" t="s">
        <v>26</v>
      </c>
      <c r="B8" s="181"/>
      <c r="C8" s="182">
        <v>0.12039999999999999</v>
      </c>
      <c r="D8" s="28"/>
      <c r="E8" s="28"/>
    </row>
    <row r="9" spans="1:5" x14ac:dyDescent="0.2">
      <c r="A9" s="10"/>
      <c r="B9" s="2" t="s">
        <v>2</v>
      </c>
      <c r="C9" s="183"/>
      <c r="D9" s="28"/>
      <c r="E9" s="28"/>
    </row>
    <row r="10" spans="1:5" x14ac:dyDescent="0.2">
      <c r="A10" s="10"/>
      <c r="B10" s="2" t="s">
        <v>60</v>
      </c>
      <c r="C10" s="183"/>
      <c r="D10" s="28"/>
      <c r="E10" s="28"/>
    </row>
    <row r="11" spans="1:5" x14ac:dyDescent="0.2">
      <c r="A11" s="10"/>
      <c r="B11" s="2" t="s">
        <v>3</v>
      </c>
      <c r="C11" s="183"/>
      <c r="D11" s="28"/>
      <c r="E11" s="28"/>
    </row>
    <row r="12" spans="1:5" x14ac:dyDescent="0.2">
      <c r="A12" s="10"/>
      <c r="B12" s="2" t="s">
        <v>4</v>
      </c>
      <c r="C12" s="183"/>
      <c r="D12" s="28"/>
      <c r="E12" s="28"/>
    </row>
    <row r="13" spans="1:5" x14ac:dyDescent="0.2">
      <c r="A13" s="10"/>
      <c r="B13" s="2" t="s">
        <v>6</v>
      </c>
      <c r="C13" s="183"/>
      <c r="D13" s="28"/>
      <c r="E13" s="28"/>
    </row>
    <row r="14" spans="1:5" x14ac:dyDescent="0.2">
      <c r="A14" s="10"/>
      <c r="B14" s="2" t="s">
        <v>5</v>
      </c>
      <c r="C14" s="183"/>
      <c r="D14" s="28"/>
      <c r="E14" s="28"/>
    </row>
    <row r="15" spans="1:5" x14ac:dyDescent="0.2">
      <c r="A15" s="10"/>
      <c r="B15" s="2" t="s">
        <v>7</v>
      </c>
      <c r="C15" s="183"/>
      <c r="D15" s="28"/>
      <c r="E15" s="28"/>
    </row>
    <row r="16" spans="1:5" x14ac:dyDescent="0.2">
      <c r="A16" s="10"/>
      <c r="B16" s="2" t="s">
        <v>8</v>
      </c>
      <c r="C16" s="183"/>
      <c r="D16" s="28"/>
      <c r="E16" s="28"/>
    </row>
    <row r="17" spans="1:5" x14ac:dyDescent="0.2">
      <c r="A17" s="10"/>
      <c r="B17" s="2" t="s">
        <v>25</v>
      </c>
      <c r="C17" s="183"/>
      <c r="D17" s="28"/>
      <c r="E17" s="28"/>
    </row>
    <row r="18" spans="1:5" ht="11.25" customHeight="1" x14ac:dyDescent="0.2">
      <c r="A18" s="11"/>
      <c r="B18" s="12"/>
      <c r="C18" s="184"/>
      <c r="D18" s="28"/>
      <c r="E18" s="28"/>
    </row>
    <row r="19" spans="1:5" x14ac:dyDescent="0.2">
      <c r="A19" s="175" t="s">
        <v>68</v>
      </c>
      <c r="B19" s="176"/>
      <c r="C19" s="41">
        <f>SUM(C5:C18)</f>
        <v>0.23599999999999999</v>
      </c>
      <c r="D19" s="28"/>
      <c r="E19" s="28"/>
    </row>
    <row r="20" spans="1:5" x14ac:dyDescent="0.2">
      <c r="A20" s="28"/>
      <c r="B20" s="28"/>
      <c r="C20" s="28"/>
      <c r="D20" s="28"/>
      <c r="E20" s="28"/>
    </row>
    <row r="21" spans="1:5" x14ac:dyDescent="0.2">
      <c r="A21" s="1" t="s">
        <v>41</v>
      </c>
      <c r="C21" s="28"/>
      <c r="D21" s="28"/>
      <c r="E21" s="28"/>
    </row>
    <row r="22" spans="1:5" x14ac:dyDescent="0.2">
      <c r="A22" s="28"/>
      <c r="B22" s="28"/>
      <c r="C22" s="28"/>
      <c r="D22" s="28"/>
      <c r="E22" s="28"/>
    </row>
    <row r="23" spans="1:5" x14ac:dyDescent="0.2">
      <c r="A23" s="28"/>
      <c r="B23" s="28"/>
      <c r="C23" s="28"/>
      <c r="D23" s="28"/>
      <c r="E23" s="28"/>
    </row>
  </sheetData>
  <sheetProtection algorithmName="SHA-512" hashValue="vuHZATNd3bMj7gX8Z3YbYoCmhbGrx6V20cAPipyNaLaUSWe+QRHkMqP43fhuYJC/XqSI5uCxZryZ3aef43eYog==" saltValue="h/y/CgMtcWdKG0CbOMYRWQ=="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6" sqref="C6"/>
    </sheetView>
  </sheetViews>
  <sheetFormatPr defaultColWidth="9.140625" defaultRowHeight="12.75" x14ac:dyDescent="0.2"/>
  <cols>
    <col min="1" max="1" width="40.85546875" style="1" customWidth="1"/>
    <col min="2" max="2" width="20.42578125" style="1" customWidth="1"/>
    <col min="3" max="3" width="18.140625" style="1" customWidth="1"/>
    <col min="4" max="6" width="9.140625" style="1"/>
    <col min="7" max="7" width="0" style="1" hidden="1" customWidth="1"/>
    <col min="8" max="8" width="9.140625" style="1" hidden="1" customWidth="1"/>
    <col min="9" max="16384" width="9.140625" style="1"/>
  </cols>
  <sheetData>
    <row r="1" spans="1:8" ht="15" x14ac:dyDescent="0.2">
      <c r="A1" s="22" t="s">
        <v>34</v>
      </c>
      <c r="B1" s="22"/>
      <c r="C1" s="28"/>
      <c r="D1" s="28"/>
      <c r="E1" s="28"/>
    </row>
    <row r="2" spans="1:8" x14ac:dyDescent="0.2">
      <c r="A2" s="28"/>
      <c r="B2" s="28"/>
      <c r="C2" s="28"/>
      <c r="D2" s="28"/>
      <c r="E2" s="28"/>
    </row>
    <row r="3" spans="1:8" x14ac:dyDescent="0.2">
      <c r="A3" s="5" t="s">
        <v>43</v>
      </c>
      <c r="C3" s="28"/>
      <c r="D3" s="28"/>
      <c r="E3" s="28"/>
    </row>
    <row r="4" spans="1:8" x14ac:dyDescent="0.2">
      <c r="A4" s="185" t="s">
        <v>19</v>
      </c>
      <c r="B4" s="186"/>
      <c r="C4" s="20" t="s">
        <v>36</v>
      </c>
      <c r="D4" s="28"/>
      <c r="E4" s="28"/>
    </row>
    <row r="5" spans="1:8" ht="126.75" customHeight="1" x14ac:dyDescent="0.2">
      <c r="A5" s="191" t="s">
        <v>269</v>
      </c>
      <c r="B5" s="190"/>
      <c r="C5" s="146">
        <v>0.13</v>
      </c>
      <c r="D5" s="28"/>
      <c r="E5" s="28"/>
    </row>
    <row r="6" spans="1:8" x14ac:dyDescent="0.2">
      <c r="A6" s="28"/>
      <c r="B6" s="28"/>
      <c r="C6" s="28"/>
      <c r="D6" s="28"/>
      <c r="E6" s="28"/>
    </row>
    <row r="7" spans="1:8" x14ac:dyDescent="0.2">
      <c r="A7" s="5" t="s">
        <v>62</v>
      </c>
      <c r="C7" s="28"/>
      <c r="D7" s="28"/>
      <c r="E7" s="28"/>
    </row>
    <row r="8" spans="1:8" x14ac:dyDescent="0.2">
      <c r="A8" s="185" t="s">
        <v>50</v>
      </c>
      <c r="B8" s="186"/>
      <c r="C8" s="20" t="s">
        <v>49</v>
      </c>
      <c r="D8" s="28"/>
      <c r="E8" s="28"/>
    </row>
    <row r="9" spans="1:8" x14ac:dyDescent="0.2">
      <c r="A9" s="189" t="s">
        <v>51</v>
      </c>
      <c r="B9" s="190"/>
      <c r="C9" s="146">
        <f>C5</f>
        <v>0.13</v>
      </c>
      <c r="D9" s="28"/>
      <c r="E9" s="28"/>
      <c r="H9" s="155">
        <f>SUM(10.9%*15.39%)+10.9%</f>
        <v>0.1257751</v>
      </c>
    </row>
    <row r="10" spans="1:8" x14ac:dyDescent="0.2">
      <c r="A10" s="28"/>
      <c r="B10" s="28"/>
      <c r="C10" s="28"/>
      <c r="D10" s="28"/>
      <c r="E10" s="28"/>
    </row>
    <row r="11" spans="1:8" x14ac:dyDescent="0.2">
      <c r="A11" s="28"/>
      <c r="B11" s="28"/>
      <c r="C11" s="28"/>
      <c r="D11" s="28"/>
      <c r="E11" s="28"/>
    </row>
  </sheetData>
  <sheetProtection algorithmName="SHA-512" hashValue="qZszVtAqZOdiXG556HfRabxjZsK/ty0xmGocEMeZ6ZgHtE6vQ+alUHaG6Z/r3KMmNfVcS6Cjp3Oj9UDYSnDx7A==" saltValue="zrftOBsoEM+p1utCTr3JjQ=="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40625" defaultRowHeight="12.75" x14ac:dyDescent="0.2"/>
  <cols>
    <col min="1" max="1" width="17" style="1" customWidth="1"/>
    <col min="2" max="2" width="15.5703125" style="1" customWidth="1"/>
    <col min="3" max="3" width="15.7109375" style="1" customWidth="1"/>
    <col min="4" max="7" width="9.140625" style="1"/>
    <col min="8" max="8" width="0" style="1" hidden="1" customWidth="1"/>
    <col min="9" max="16384" width="9.140625" style="1"/>
  </cols>
  <sheetData>
    <row r="1" spans="1:8" ht="15" x14ac:dyDescent="0.2">
      <c r="A1" s="22" t="s">
        <v>46</v>
      </c>
      <c r="B1" s="22"/>
      <c r="C1" s="22"/>
      <c r="D1" s="28"/>
      <c r="E1" s="28"/>
      <c r="F1" s="28"/>
    </row>
    <row r="2" spans="1:8" x14ac:dyDescent="0.2">
      <c r="A2" s="28"/>
      <c r="B2" s="28"/>
      <c r="C2" s="28"/>
      <c r="D2" s="28"/>
      <c r="E2" s="28"/>
      <c r="F2" s="28"/>
    </row>
    <row r="3" spans="1:8" ht="13.5" thickBot="1" x14ac:dyDescent="0.25">
      <c r="A3" s="5" t="s">
        <v>52</v>
      </c>
      <c r="E3" s="28"/>
      <c r="F3" s="28"/>
    </row>
    <row r="4" spans="1:8" ht="25.5" x14ac:dyDescent="0.2">
      <c r="A4" s="25" t="s">
        <v>53</v>
      </c>
      <c r="B4" s="56" t="s">
        <v>80</v>
      </c>
      <c r="C4" s="56" t="s">
        <v>81</v>
      </c>
      <c r="D4" s="28"/>
      <c r="E4" s="28"/>
      <c r="F4" s="28"/>
    </row>
    <row r="5" spans="1:8" x14ac:dyDescent="0.2">
      <c r="A5" s="26" t="str">
        <f>'Direct Staffing'!B10</f>
        <v>1:1</v>
      </c>
      <c r="B5" s="159">
        <f>ROUND(24.28/120,9)</f>
        <v>0.202333333</v>
      </c>
      <c r="C5" s="27">
        <f>ROUND(((1+1/(VLOOKUP(A5,'Direct Staffing'!H3:K13,2,FALSE)))*B5),9)</f>
        <v>0.40466666600000001</v>
      </c>
      <c r="D5" s="28"/>
      <c r="E5" s="28"/>
      <c r="F5" s="28"/>
      <c r="H5" s="156">
        <f>SUM(21.04*15.39%)+21.04</f>
        <v>24.278055999999999</v>
      </c>
    </row>
    <row r="6" spans="1:8" x14ac:dyDescent="0.2">
      <c r="A6" s="28"/>
      <c r="B6" s="28"/>
      <c r="C6" s="28"/>
      <c r="D6" s="28"/>
      <c r="E6" s="28"/>
      <c r="F6" s="28"/>
    </row>
    <row r="7" spans="1:8" x14ac:dyDescent="0.2">
      <c r="A7" s="28"/>
      <c r="B7" s="28"/>
      <c r="C7" s="28"/>
      <c r="D7" s="28"/>
      <c r="E7" s="28"/>
      <c r="F7" s="28"/>
    </row>
  </sheetData>
  <sheetProtection algorithmName="SHA-512" hashValue="Mc6uN0YDsc7IK+RKTumEyH9bZSkOKZO6B8F58xbIyZ3KNFb0T5sultz5+zfTP9kqi8WOvvGRD5h2yVntR7b6+A==" saltValue="JJpjWPU+fQ37ow1WwlVA3Q=="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2" t="s">
        <v>63</v>
      </c>
      <c r="B1" s="22"/>
      <c r="C1" s="22"/>
      <c r="D1" s="28"/>
      <c r="E1" s="28"/>
      <c r="F1" s="28"/>
      <c r="G1" s="28"/>
    </row>
    <row r="2" spans="1:7" x14ac:dyDescent="0.2">
      <c r="A2" s="28"/>
      <c r="B2" s="28"/>
      <c r="C2" s="28"/>
      <c r="D2" s="28"/>
      <c r="E2" s="28"/>
      <c r="F2" s="28"/>
      <c r="G2" s="28"/>
    </row>
    <row r="3" spans="1:7" x14ac:dyDescent="0.2">
      <c r="A3" s="87" t="s">
        <v>64</v>
      </c>
      <c r="B3" s="87"/>
      <c r="C3" s="87"/>
      <c r="D3" s="87"/>
      <c r="E3" s="87"/>
      <c r="F3" s="87"/>
      <c r="G3" s="28"/>
    </row>
    <row r="4" spans="1:7" x14ac:dyDescent="0.2">
      <c r="A4" s="196" t="s">
        <v>10</v>
      </c>
      <c r="B4" s="196"/>
      <c r="C4" s="196"/>
      <c r="D4" s="196"/>
      <c r="E4" s="21" t="s">
        <v>22</v>
      </c>
      <c r="F4" s="28"/>
      <c r="G4" s="28"/>
    </row>
    <row r="5" spans="1:7" ht="12" customHeight="1" x14ac:dyDescent="0.2">
      <c r="A5" s="197" t="s">
        <v>58</v>
      </c>
      <c r="B5" s="197"/>
      <c r="C5" s="197"/>
      <c r="D5" s="197"/>
      <c r="E5" s="42">
        <v>0.13250000000000001</v>
      </c>
      <c r="F5" s="28"/>
      <c r="G5" s="28"/>
    </row>
    <row r="6" spans="1:7" x14ac:dyDescent="0.2">
      <c r="A6" s="197" t="s">
        <v>59</v>
      </c>
      <c r="B6" s="197"/>
      <c r="C6" s="197"/>
      <c r="D6" s="197"/>
      <c r="E6" s="42">
        <v>1.7999999999999999E-2</v>
      </c>
      <c r="F6" s="28"/>
      <c r="G6" s="28"/>
    </row>
    <row r="7" spans="1:7" x14ac:dyDescent="0.2">
      <c r="A7" s="192" t="s">
        <v>65</v>
      </c>
      <c r="B7" s="193"/>
      <c r="C7" s="193"/>
      <c r="D7" s="194"/>
      <c r="E7" s="42">
        <v>9.4E-2</v>
      </c>
      <c r="F7" s="28"/>
      <c r="G7" s="28"/>
    </row>
    <row r="8" spans="1:7" x14ac:dyDescent="0.2">
      <c r="A8" s="195" t="s">
        <v>66</v>
      </c>
      <c r="B8" s="195"/>
      <c r="C8" s="195"/>
      <c r="D8" s="195"/>
      <c r="E8" s="41">
        <f>SUM(E5:E7)</f>
        <v>0.2445</v>
      </c>
      <c r="F8" s="28"/>
      <c r="G8" s="28"/>
    </row>
    <row r="9" spans="1:7" x14ac:dyDescent="0.2">
      <c r="A9" s="28"/>
      <c r="B9" s="28"/>
      <c r="C9" s="28"/>
      <c r="D9" s="28"/>
      <c r="E9" s="28"/>
      <c r="F9" s="28"/>
      <c r="G9" s="28"/>
    </row>
    <row r="10" spans="1:7" x14ac:dyDescent="0.2">
      <c r="C10" s="28"/>
      <c r="D10" s="28"/>
      <c r="E10" s="28"/>
      <c r="F10" s="28"/>
      <c r="G10" s="28"/>
    </row>
    <row r="11" spans="1:7" x14ac:dyDescent="0.2">
      <c r="A11" s="28"/>
      <c r="B11" s="28"/>
      <c r="C11" s="28"/>
      <c r="D11" s="28"/>
      <c r="E11" s="28"/>
      <c r="F11" s="28"/>
      <c r="G11" s="28"/>
    </row>
    <row r="12" spans="1:7" x14ac:dyDescent="0.2">
      <c r="A12" s="28"/>
      <c r="B12" s="28"/>
      <c r="C12" s="28"/>
      <c r="D12" s="28"/>
      <c r="E12" s="28"/>
      <c r="F12" s="28"/>
      <c r="G12" s="28"/>
    </row>
  </sheetData>
  <sheetProtection algorithmName="SHA-512" hashValue="CuaG3UJm4eOsm3mPUMDj9h68hAwEpn3/Cb7UaB2yE8OOPh9Y/unbDZhosrXUJZIGYfDMOLRUcVojIuyxYdC0qA==" saltValue="AoO9oA0dRfVpO9zoHFRhMw=="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9"/>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89" bestFit="1" customWidth="1"/>
  </cols>
  <sheetData>
    <row r="3" spans="1:6" x14ac:dyDescent="0.2">
      <c r="A3" s="5" t="s">
        <v>110</v>
      </c>
      <c r="B3" s="60"/>
      <c r="C3" s="60"/>
      <c r="D3" s="60"/>
    </row>
    <row r="4" spans="1:6" x14ac:dyDescent="0.2">
      <c r="A4" s="48" t="s">
        <v>111</v>
      </c>
      <c r="B4" s="198" t="s">
        <v>112</v>
      </c>
      <c r="C4" s="199"/>
      <c r="D4" s="200"/>
    </row>
    <row r="5" spans="1:6" x14ac:dyDescent="0.2">
      <c r="A5" s="48" t="s">
        <v>113</v>
      </c>
      <c r="B5" s="201" t="str">
        <f>INDEX($C$10:$C$108,MATCH(B4:D4,B10:B108,0))</f>
        <v>Unspecified Region</v>
      </c>
      <c r="C5" s="202"/>
      <c r="D5" s="203"/>
    </row>
    <row r="7" spans="1:6" hidden="1" x14ac:dyDescent="0.2">
      <c r="A7" t="s">
        <v>114</v>
      </c>
      <c r="B7" t="str">
        <f>INDEX($D$10:$D$108,MATCH(B4:D4,B10:B108,0))</f>
        <v>-</v>
      </c>
    </row>
    <row r="8" spans="1:6" hidden="1" x14ac:dyDescent="0.2"/>
    <row r="9" spans="1:6" ht="15" hidden="1" x14ac:dyDescent="0.2">
      <c r="B9" s="90" t="s">
        <v>115</v>
      </c>
      <c r="C9" s="90" t="s">
        <v>116</v>
      </c>
      <c r="D9" s="91" t="s">
        <v>114</v>
      </c>
      <c r="F9"/>
    </row>
    <row r="10" spans="1:6" ht="15" hidden="1" x14ac:dyDescent="0.2">
      <c r="B10" s="92" t="s">
        <v>112</v>
      </c>
      <c r="C10" s="92" t="s">
        <v>117</v>
      </c>
      <c r="D10" s="93" t="s">
        <v>118</v>
      </c>
      <c r="F10"/>
    </row>
    <row r="11" spans="1:6" ht="15" hidden="1" x14ac:dyDescent="0.2">
      <c r="B11" s="94" t="s">
        <v>119</v>
      </c>
      <c r="C11" s="94" t="s">
        <v>120</v>
      </c>
      <c r="D11" s="150">
        <v>0.99</v>
      </c>
      <c r="F11"/>
    </row>
    <row r="12" spans="1:6" ht="15" hidden="1" x14ac:dyDescent="0.2">
      <c r="B12" s="94" t="s">
        <v>121</v>
      </c>
      <c r="C12" s="94" t="s">
        <v>122</v>
      </c>
      <c r="D12" s="150">
        <v>1.004</v>
      </c>
      <c r="F12"/>
    </row>
    <row r="13" spans="1:6" ht="15" hidden="1" x14ac:dyDescent="0.2">
      <c r="B13" s="94" t="s">
        <v>123</v>
      </c>
      <c r="C13" s="94" t="s">
        <v>124</v>
      </c>
      <c r="D13" s="150">
        <v>0.96699999999999997</v>
      </c>
      <c r="F13"/>
    </row>
    <row r="14" spans="1:6" ht="15" hidden="1" x14ac:dyDescent="0.2">
      <c r="B14" s="94" t="s">
        <v>125</v>
      </c>
      <c r="C14" s="94" t="s">
        <v>124</v>
      </c>
      <c r="D14" s="150">
        <v>0.96699999999999997</v>
      </c>
      <c r="F14"/>
    </row>
    <row r="15" spans="1:6" ht="15" hidden="1" x14ac:dyDescent="0.2">
      <c r="B15" s="94" t="s">
        <v>126</v>
      </c>
      <c r="C15" s="94" t="s">
        <v>127</v>
      </c>
      <c r="D15" s="150">
        <v>1.0169999999999999</v>
      </c>
      <c r="F15"/>
    </row>
    <row r="16" spans="1:6" ht="15" hidden="1" x14ac:dyDescent="0.2">
      <c r="B16" s="94" t="s">
        <v>128</v>
      </c>
      <c r="C16" s="95" t="s">
        <v>129</v>
      </c>
      <c r="D16" s="150">
        <v>0.98599999999999999</v>
      </c>
      <c r="F16"/>
    </row>
    <row r="17" spans="2:6" ht="15" hidden="1" x14ac:dyDescent="0.2">
      <c r="B17" s="94" t="s">
        <v>130</v>
      </c>
      <c r="C17" s="94" t="s">
        <v>131</v>
      </c>
      <c r="D17" s="150">
        <v>1.022</v>
      </c>
      <c r="F17"/>
    </row>
    <row r="18" spans="2:6" ht="15" hidden="1" x14ac:dyDescent="0.2">
      <c r="B18" s="94" t="s">
        <v>132</v>
      </c>
      <c r="C18" s="95" t="s">
        <v>133</v>
      </c>
      <c r="D18" s="150">
        <v>1.0269999999999999</v>
      </c>
      <c r="F18"/>
    </row>
    <row r="19" spans="2:6" ht="15" hidden="1" x14ac:dyDescent="0.2">
      <c r="B19" s="94" t="s">
        <v>134</v>
      </c>
      <c r="C19" s="95" t="s">
        <v>135</v>
      </c>
      <c r="D19" s="150">
        <v>0.96499999999999997</v>
      </c>
      <c r="F19"/>
    </row>
    <row r="20" spans="2:6" ht="15" hidden="1" x14ac:dyDescent="0.2">
      <c r="B20" s="94" t="s">
        <v>136</v>
      </c>
      <c r="C20" s="94" t="s">
        <v>122</v>
      </c>
      <c r="D20" s="150">
        <v>1.004</v>
      </c>
      <c r="F20"/>
    </row>
    <row r="21" spans="2:6" ht="15" hidden="1" x14ac:dyDescent="0.2">
      <c r="B21" s="94" t="s">
        <v>137</v>
      </c>
      <c r="C21" s="94" t="s">
        <v>124</v>
      </c>
      <c r="D21" s="150">
        <v>0.96699999999999997</v>
      </c>
      <c r="F21"/>
    </row>
    <row r="22" spans="2:6" ht="15" hidden="1" x14ac:dyDescent="0.2">
      <c r="B22" s="94" t="s">
        <v>138</v>
      </c>
      <c r="C22" s="95" t="s">
        <v>129</v>
      </c>
      <c r="D22" s="150">
        <v>0.98599999999999999</v>
      </c>
      <c r="F22"/>
    </row>
    <row r="23" spans="2:6" ht="15" hidden="1" x14ac:dyDescent="0.2">
      <c r="B23" s="94" t="s">
        <v>139</v>
      </c>
      <c r="C23" s="95" t="s">
        <v>122</v>
      </c>
      <c r="D23" s="150">
        <v>1.004</v>
      </c>
      <c r="F23"/>
    </row>
    <row r="24" spans="2:6" ht="15" hidden="1" x14ac:dyDescent="0.2">
      <c r="B24" s="94" t="s">
        <v>140</v>
      </c>
      <c r="C24" s="95" t="s">
        <v>141</v>
      </c>
      <c r="D24" s="150">
        <v>1.004</v>
      </c>
      <c r="F24"/>
    </row>
    <row r="25" spans="2:6" ht="15" hidden="1" x14ac:dyDescent="0.2">
      <c r="B25" s="94" t="s">
        <v>142</v>
      </c>
      <c r="C25" s="94" t="s">
        <v>124</v>
      </c>
      <c r="D25" s="150">
        <v>0.96699999999999997</v>
      </c>
      <c r="F25"/>
    </row>
    <row r="26" spans="2:6" ht="15" hidden="1" x14ac:dyDescent="0.2">
      <c r="B26" s="94" t="s">
        <v>143</v>
      </c>
      <c r="C26" s="95" t="s">
        <v>120</v>
      </c>
      <c r="D26" s="150">
        <v>0.99</v>
      </c>
      <c r="F26"/>
    </row>
    <row r="27" spans="2:6" ht="15" hidden="1" x14ac:dyDescent="0.2">
      <c r="B27" s="94" t="s">
        <v>144</v>
      </c>
      <c r="C27" s="95" t="s">
        <v>129</v>
      </c>
      <c r="D27" s="150">
        <v>0.98599999999999999</v>
      </c>
      <c r="F27"/>
    </row>
    <row r="28" spans="2:6" ht="15" hidden="1" x14ac:dyDescent="0.2">
      <c r="B28" s="94" t="s">
        <v>145</v>
      </c>
      <c r="C28" s="94" t="s">
        <v>124</v>
      </c>
      <c r="D28" s="150">
        <v>0.96699999999999997</v>
      </c>
      <c r="F28"/>
    </row>
    <row r="29" spans="2:6" ht="15" hidden="1" x14ac:dyDescent="0.2">
      <c r="B29" s="94" t="s">
        <v>146</v>
      </c>
      <c r="C29" s="94" t="s">
        <v>122</v>
      </c>
      <c r="D29" s="150">
        <v>1.004</v>
      </c>
      <c r="F29"/>
    </row>
    <row r="30" spans="2:6" ht="15" hidden="1" x14ac:dyDescent="0.2">
      <c r="B30" s="94" t="s">
        <v>147</v>
      </c>
      <c r="C30" s="95" t="s">
        <v>148</v>
      </c>
      <c r="D30" s="150">
        <v>1.0029999999999999</v>
      </c>
      <c r="F30"/>
    </row>
    <row r="31" spans="2:6" ht="15" hidden="1" x14ac:dyDescent="0.2">
      <c r="B31" s="94" t="s">
        <v>149</v>
      </c>
      <c r="C31" s="94" t="s">
        <v>124</v>
      </c>
      <c r="D31" s="150">
        <v>0.96699999999999997</v>
      </c>
      <c r="F31"/>
    </row>
    <row r="32" spans="2:6" ht="15" hidden="1" x14ac:dyDescent="0.2">
      <c r="B32" s="94" t="s">
        <v>150</v>
      </c>
      <c r="C32" s="95" t="s">
        <v>133</v>
      </c>
      <c r="D32" s="150">
        <v>1.0269999999999999</v>
      </c>
      <c r="F32"/>
    </row>
    <row r="33" spans="2:6" ht="15" hidden="1" x14ac:dyDescent="0.2">
      <c r="B33" s="94" t="s">
        <v>151</v>
      </c>
      <c r="C33" s="95" t="s">
        <v>148</v>
      </c>
      <c r="D33" s="150">
        <v>1.0029999999999999</v>
      </c>
      <c r="F33"/>
    </row>
    <row r="34" spans="2:6" ht="15" hidden="1" x14ac:dyDescent="0.2">
      <c r="B34" s="94" t="s">
        <v>152</v>
      </c>
      <c r="C34" s="95" t="s">
        <v>133</v>
      </c>
      <c r="D34" s="150">
        <v>1.0269999999999999</v>
      </c>
      <c r="F34"/>
    </row>
    <row r="35" spans="2:6" ht="15" hidden="1" x14ac:dyDescent="0.2">
      <c r="B35" s="94" t="s">
        <v>153</v>
      </c>
      <c r="C35" s="95" t="s">
        <v>133</v>
      </c>
      <c r="D35" s="150">
        <v>1.0269999999999999</v>
      </c>
      <c r="F35"/>
    </row>
    <row r="36" spans="2:6" ht="15" hidden="1" x14ac:dyDescent="0.2">
      <c r="B36" s="94" t="s">
        <v>154</v>
      </c>
      <c r="C36" s="94" t="s">
        <v>124</v>
      </c>
      <c r="D36" s="150">
        <v>0.96699999999999997</v>
      </c>
      <c r="F36"/>
    </row>
    <row r="37" spans="2:6" ht="15" hidden="1" x14ac:dyDescent="0.2">
      <c r="B37" s="94" t="s">
        <v>155</v>
      </c>
      <c r="C37" s="94" t="s">
        <v>122</v>
      </c>
      <c r="D37" s="150">
        <v>1.004</v>
      </c>
      <c r="F37"/>
    </row>
    <row r="38" spans="2:6" ht="15" hidden="1" x14ac:dyDescent="0.2">
      <c r="B38" s="94" t="s">
        <v>156</v>
      </c>
      <c r="C38" s="95" t="s">
        <v>157</v>
      </c>
      <c r="D38" s="150">
        <v>1.0149999999999999</v>
      </c>
      <c r="F38"/>
    </row>
    <row r="39" spans="2:6" ht="15" hidden="1" x14ac:dyDescent="0.2">
      <c r="B39" s="94" t="s">
        <v>158</v>
      </c>
      <c r="C39" s="94" t="s">
        <v>124</v>
      </c>
      <c r="D39" s="150">
        <v>0.96699999999999997</v>
      </c>
      <c r="F39"/>
    </row>
    <row r="40" spans="2:6" ht="15" hidden="1" x14ac:dyDescent="0.2">
      <c r="B40" s="94" t="s">
        <v>159</v>
      </c>
      <c r="C40" s="95" t="s">
        <v>122</v>
      </c>
      <c r="D40" s="150">
        <v>1.004</v>
      </c>
      <c r="F40"/>
    </row>
    <row r="41" spans="2:6" ht="15" hidden="1" x14ac:dyDescent="0.2">
      <c r="B41" s="94" t="s">
        <v>160</v>
      </c>
      <c r="C41" s="95" t="s">
        <v>120</v>
      </c>
      <c r="D41" s="150">
        <v>0.99</v>
      </c>
      <c r="F41"/>
    </row>
    <row r="42" spans="2:6" ht="15" hidden="1" x14ac:dyDescent="0.2">
      <c r="B42" s="94" t="s">
        <v>161</v>
      </c>
      <c r="C42" s="95" t="s">
        <v>129</v>
      </c>
      <c r="D42" s="150">
        <v>0.98599999999999999</v>
      </c>
      <c r="F42"/>
    </row>
    <row r="43" spans="2:6" ht="15" hidden="1" x14ac:dyDescent="0.2">
      <c r="B43" s="94" t="s">
        <v>162</v>
      </c>
      <c r="C43" s="95" t="s">
        <v>120</v>
      </c>
      <c r="D43" s="150">
        <v>0.99</v>
      </c>
      <c r="F43"/>
    </row>
    <row r="44" spans="2:6" ht="15" hidden="1" x14ac:dyDescent="0.2">
      <c r="B44" s="94" t="s">
        <v>163</v>
      </c>
      <c r="C44" s="95" t="s">
        <v>129</v>
      </c>
      <c r="D44" s="150">
        <v>0.98599999999999999</v>
      </c>
      <c r="F44"/>
    </row>
    <row r="45" spans="2:6" ht="15" hidden="1" x14ac:dyDescent="0.2">
      <c r="B45" s="94" t="s">
        <v>164</v>
      </c>
      <c r="C45" s="94" t="s">
        <v>124</v>
      </c>
      <c r="D45" s="150">
        <v>0.96699999999999997</v>
      </c>
      <c r="F45"/>
    </row>
    <row r="46" spans="2:6" ht="15" hidden="1" x14ac:dyDescent="0.2">
      <c r="B46" s="94" t="s">
        <v>165</v>
      </c>
      <c r="C46" s="95" t="s">
        <v>120</v>
      </c>
      <c r="D46" s="150">
        <v>0.99</v>
      </c>
      <c r="F46"/>
    </row>
    <row r="47" spans="2:6" ht="15" hidden="1" x14ac:dyDescent="0.2">
      <c r="B47" s="94" t="s">
        <v>166</v>
      </c>
      <c r="C47" s="95" t="s">
        <v>129</v>
      </c>
      <c r="D47" s="150">
        <v>0.98599999999999999</v>
      </c>
      <c r="F47"/>
    </row>
    <row r="48" spans="2:6" ht="15" hidden="1" x14ac:dyDescent="0.2">
      <c r="B48" s="94" t="s">
        <v>167</v>
      </c>
      <c r="C48" s="95" t="s">
        <v>120</v>
      </c>
      <c r="D48" s="150">
        <v>0.99</v>
      </c>
      <c r="F48"/>
    </row>
    <row r="49" spans="2:6" ht="15" hidden="1" x14ac:dyDescent="0.2">
      <c r="B49" s="94" t="s">
        <v>168</v>
      </c>
      <c r="C49" s="94" t="s">
        <v>124</v>
      </c>
      <c r="D49" s="150">
        <v>0.96699999999999997</v>
      </c>
      <c r="F49"/>
    </row>
    <row r="50" spans="2:6" ht="15" hidden="1" x14ac:dyDescent="0.2">
      <c r="B50" s="94" t="s">
        <v>169</v>
      </c>
      <c r="C50" s="95" t="s">
        <v>122</v>
      </c>
      <c r="D50" s="150">
        <v>1.004</v>
      </c>
      <c r="F50"/>
    </row>
    <row r="51" spans="2:6" ht="15" hidden="1" x14ac:dyDescent="0.2">
      <c r="B51" s="94" t="s">
        <v>170</v>
      </c>
      <c r="C51" s="95" t="s">
        <v>129</v>
      </c>
      <c r="D51" s="150">
        <v>0.98599999999999999</v>
      </c>
      <c r="F51"/>
    </row>
    <row r="52" spans="2:6" ht="15" hidden="1" x14ac:dyDescent="0.2">
      <c r="B52" s="94" t="s">
        <v>171</v>
      </c>
      <c r="C52" s="95" t="s">
        <v>129</v>
      </c>
      <c r="D52" s="150">
        <v>0.98599999999999999</v>
      </c>
      <c r="F52"/>
    </row>
    <row r="53" spans="2:6" ht="15" hidden="1" x14ac:dyDescent="0.2">
      <c r="B53" s="94" t="s">
        <v>175</v>
      </c>
      <c r="C53" s="95" t="s">
        <v>129</v>
      </c>
      <c r="D53" s="150">
        <v>0.98599999999999999</v>
      </c>
      <c r="F53"/>
    </row>
    <row r="54" spans="2:6" ht="15" hidden="1" x14ac:dyDescent="0.2">
      <c r="B54" s="94" t="s">
        <v>172</v>
      </c>
      <c r="C54" s="94" t="s">
        <v>124</v>
      </c>
      <c r="D54" s="150">
        <v>0.96699999999999997</v>
      </c>
      <c r="F54"/>
    </row>
    <row r="55" spans="2:6" ht="15" hidden="1" x14ac:dyDescent="0.2">
      <c r="B55" s="94" t="s">
        <v>173</v>
      </c>
      <c r="C55" s="94" t="s">
        <v>124</v>
      </c>
      <c r="D55" s="150">
        <v>0.96699999999999997</v>
      </c>
      <c r="F55"/>
    </row>
    <row r="56" spans="2:6" ht="15" hidden="1" x14ac:dyDescent="0.2">
      <c r="B56" s="94" t="s">
        <v>174</v>
      </c>
      <c r="C56" s="95" t="s">
        <v>133</v>
      </c>
      <c r="D56" s="150">
        <v>1.0269999999999999</v>
      </c>
      <c r="F56"/>
    </row>
    <row r="57" spans="2:6" ht="15" hidden="1" x14ac:dyDescent="0.2">
      <c r="B57" s="94" t="s">
        <v>176</v>
      </c>
      <c r="C57" s="95" t="s">
        <v>129</v>
      </c>
      <c r="D57" s="150">
        <v>0.98599999999999999</v>
      </c>
      <c r="F57"/>
    </row>
    <row r="58" spans="2:6" ht="15" hidden="1" x14ac:dyDescent="0.2">
      <c r="B58" s="94" t="s">
        <v>177</v>
      </c>
      <c r="C58" s="95" t="s">
        <v>122</v>
      </c>
      <c r="D58" s="150">
        <v>1.004</v>
      </c>
      <c r="F58"/>
    </row>
    <row r="59" spans="2:6" ht="15" hidden="1" x14ac:dyDescent="0.2">
      <c r="B59" s="94" t="s">
        <v>178</v>
      </c>
      <c r="C59" s="94" t="s">
        <v>124</v>
      </c>
      <c r="D59" s="150">
        <v>0.96699999999999997</v>
      </c>
      <c r="F59"/>
    </row>
    <row r="60" spans="2:6" ht="15" hidden="1" x14ac:dyDescent="0.2">
      <c r="B60" s="94" t="s">
        <v>179</v>
      </c>
      <c r="C60" s="95" t="s">
        <v>133</v>
      </c>
      <c r="D60" s="150">
        <v>1.0269999999999999</v>
      </c>
      <c r="F60"/>
    </row>
    <row r="61" spans="2:6" ht="15" hidden="1" x14ac:dyDescent="0.2">
      <c r="B61" s="94" t="s">
        <v>180</v>
      </c>
      <c r="C61" s="95" t="s">
        <v>129</v>
      </c>
      <c r="D61" s="150">
        <v>0.98599999999999999</v>
      </c>
      <c r="F61"/>
    </row>
    <row r="62" spans="2:6" ht="15" hidden="1" x14ac:dyDescent="0.2">
      <c r="B62" s="94" t="s">
        <v>181</v>
      </c>
      <c r="C62" s="95" t="s">
        <v>131</v>
      </c>
      <c r="D62" s="150">
        <v>1.022</v>
      </c>
      <c r="F62"/>
    </row>
    <row r="63" spans="2:6" ht="15" hidden="1" x14ac:dyDescent="0.2">
      <c r="B63" s="94" t="s">
        <v>182</v>
      </c>
      <c r="C63" s="95" t="s">
        <v>129</v>
      </c>
      <c r="D63" s="150">
        <v>0.98599999999999999</v>
      </c>
      <c r="F63"/>
    </row>
    <row r="64" spans="2:6" ht="15" hidden="1" x14ac:dyDescent="0.2">
      <c r="B64" s="94" t="s">
        <v>183</v>
      </c>
      <c r="C64" s="94" t="s">
        <v>124</v>
      </c>
      <c r="D64" s="150">
        <v>0.96699999999999997</v>
      </c>
      <c r="F64"/>
    </row>
    <row r="65" spans="2:6" ht="15" hidden="1" x14ac:dyDescent="0.2">
      <c r="B65" s="94" t="s">
        <v>184</v>
      </c>
      <c r="C65" s="95" t="s">
        <v>148</v>
      </c>
      <c r="D65" s="150">
        <v>1.0029999999999999</v>
      </c>
      <c r="F65"/>
    </row>
    <row r="66" spans="2:6" ht="15" hidden="1" x14ac:dyDescent="0.2">
      <c r="B66" s="94" t="s">
        <v>185</v>
      </c>
      <c r="C66" s="94" t="s">
        <v>124</v>
      </c>
      <c r="D66" s="150">
        <v>0.96699999999999997</v>
      </c>
      <c r="F66"/>
    </row>
    <row r="67" spans="2:6" ht="15" hidden="1" x14ac:dyDescent="0.2">
      <c r="B67" s="94" t="s">
        <v>186</v>
      </c>
      <c r="C67" s="94" t="s">
        <v>124</v>
      </c>
      <c r="D67" s="150">
        <v>0.96699999999999997</v>
      </c>
      <c r="F67"/>
    </row>
    <row r="68" spans="2:6" ht="15" hidden="1" x14ac:dyDescent="0.2">
      <c r="B68" s="94" t="s">
        <v>187</v>
      </c>
      <c r="C68" s="95" t="s">
        <v>120</v>
      </c>
      <c r="D68" s="150">
        <v>0.99</v>
      </c>
      <c r="F68"/>
    </row>
    <row r="69" spans="2:6" ht="15" hidden="1" x14ac:dyDescent="0.2">
      <c r="B69" s="94" t="s">
        <v>188</v>
      </c>
      <c r="C69" s="95" t="s">
        <v>129</v>
      </c>
      <c r="D69" s="150">
        <v>0.98599999999999999</v>
      </c>
      <c r="F69"/>
    </row>
    <row r="70" spans="2:6" ht="15" hidden="1" x14ac:dyDescent="0.2">
      <c r="B70" s="94" t="s">
        <v>189</v>
      </c>
      <c r="C70" s="95" t="s">
        <v>190</v>
      </c>
      <c r="D70" s="150">
        <v>1.0249999999999999</v>
      </c>
      <c r="F70"/>
    </row>
    <row r="71" spans="2:6" ht="15" hidden="1" x14ac:dyDescent="0.2">
      <c r="B71" s="94" t="s">
        <v>191</v>
      </c>
      <c r="C71" s="94" t="s">
        <v>124</v>
      </c>
      <c r="D71" s="150">
        <v>0.96699999999999997</v>
      </c>
      <c r="F71"/>
    </row>
    <row r="72" spans="2:6" ht="15" hidden="1" x14ac:dyDescent="0.2">
      <c r="B72" s="94" t="s">
        <v>192</v>
      </c>
      <c r="C72" s="94" t="s">
        <v>122</v>
      </c>
      <c r="D72" s="150">
        <v>1.004</v>
      </c>
      <c r="F72"/>
    </row>
    <row r="73" spans="2:6" ht="15" hidden="1" x14ac:dyDescent="0.2">
      <c r="B73" s="94" t="s">
        <v>193</v>
      </c>
      <c r="C73" s="94" t="s">
        <v>124</v>
      </c>
      <c r="D73" s="150">
        <v>0.96699999999999997</v>
      </c>
      <c r="F73"/>
    </row>
    <row r="74" spans="2:6" ht="15" hidden="1" x14ac:dyDescent="0.2">
      <c r="B74" s="94" t="s">
        <v>194</v>
      </c>
      <c r="C74" s="95" t="s">
        <v>129</v>
      </c>
      <c r="D74" s="150">
        <v>0.98599999999999999</v>
      </c>
      <c r="F74"/>
    </row>
    <row r="75" spans="2:6" ht="15" hidden="1" x14ac:dyDescent="0.2">
      <c r="B75" s="94" t="s">
        <v>195</v>
      </c>
      <c r="C75" s="95" t="s">
        <v>129</v>
      </c>
      <c r="D75" s="150">
        <v>0.98599999999999999</v>
      </c>
      <c r="F75"/>
    </row>
    <row r="76" spans="2:6" ht="15" hidden="1" x14ac:dyDescent="0.2">
      <c r="B76" s="94" t="s">
        <v>196</v>
      </c>
      <c r="C76" s="95" t="s">
        <v>133</v>
      </c>
      <c r="D76" s="150">
        <v>1.0269999999999999</v>
      </c>
      <c r="F76"/>
    </row>
    <row r="77" spans="2:6" ht="15" hidden="1" x14ac:dyDescent="0.2">
      <c r="B77" s="94" t="s">
        <v>197</v>
      </c>
      <c r="C77" s="95" t="s">
        <v>129</v>
      </c>
      <c r="D77" s="150">
        <v>0.98599999999999999</v>
      </c>
      <c r="F77"/>
    </row>
    <row r="78" spans="2:6" ht="15" hidden="1" x14ac:dyDescent="0.2">
      <c r="B78" s="94" t="s">
        <v>198</v>
      </c>
      <c r="C78" s="94" t="s">
        <v>124</v>
      </c>
      <c r="D78" s="150">
        <v>0.96699999999999997</v>
      </c>
      <c r="F78"/>
    </row>
    <row r="79" spans="2:6" ht="15" hidden="1" x14ac:dyDescent="0.2">
      <c r="B79" s="94" t="s">
        <v>202</v>
      </c>
      <c r="C79" s="95" t="s">
        <v>135</v>
      </c>
      <c r="D79" s="150">
        <v>0.96499999999999997</v>
      </c>
      <c r="F79"/>
    </row>
    <row r="80" spans="2:6" ht="15" hidden="1" x14ac:dyDescent="0.2">
      <c r="B80" s="94" t="s">
        <v>199</v>
      </c>
      <c r="C80" s="94" t="s">
        <v>122</v>
      </c>
      <c r="D80" s="150">
        <v>1.004</v>
      </c>
      <c r="F80"/>
    </row>
    <row r="81" spans="2:6" ht="15" hidden="1" x14ac:dyDescent="0.2">
      <c r="B81" s="94" t="s">
        <v>200</v>
      </c>
      <c r="C81" s="95" t="s">
        <v>122</v>
      </c>
      <c r="D81" s="150">
        <v>1.004</v>
      </c>
      <c r="F81"/>
    </row>
    <row r="82" spans="2:6" ht="15" hidden="1" x14ac:dyDescent="0.2">
      <c r="B82" s="94" t="s">
        <v>201</v>
      </c>
      <c r="C82" s="95" t="s">
        <v>122</v>
      </c>
      <c r="D82" s="150">
        <v>1.004</v>
      </c>
      <c r="F82"/>
    </row>
    <row r="83" spans="2:6" ht="15" hidden="1" x14ac:dyDescent="0.2">
      <c r="B83" s="94" t="s">
        <v>203</v>
      </c>
      <c r="C83" s="95" t="s">
        <v>127</v>
      </c>
      <c r="D83" s="150">
        <v>1.0169999999999999</v>
      </c>
      <c r="F83"/>
    </row>
    <row r="84" spans="2:6" ht="15" hidden="1" x14ac:dyDescent="0.2">
      <c r="B84" s="94" t="s">
        <v>204</v>
      </c>
      <c r="C84" s="95" t="s">
        <v>133</v>
      </c>
      <c r="D84" s="150">
        <v>1.0269999999999999</v>
      </c>
      <c r="F84"/>
    </row>
    <row r="85" spans="2:6" ht="15" hidden="1" x14ac:dyDescent="0.2">
      <c r="B85" s="94" t="s">
        <v>205</v>
      </c>
      <c r="C85" s="94" t="s">
        <v>124</v>
      </c>
      <c r="D85" s="150">
        <v>0.96699999999999997</v>
      </c>
      <c r="F85"/>
    </row>
    <row r="86" spans="2:6" ht="15" hidden="1" x14ac:dyDescent="0.2">
      <c r="B86" s="94" t="s">
        <v>206</v>
      </c>
      <c r="C86" s="95" t="s">
        <v>129</v>
      </c>
      <c r="D86" s="150">
        <v>0.98599999999999999</v>
      </c>
      <c r="F86"/>
    </row>
    <row r="87" spans="2:6" ht="15" hidden="1" x14ac:dyDescent="0.2">
      <c r="B87" s="94" t="s">
        <v>207</v>
      </c>
      <c r="C87" s="94" t="s">
        <v>124</v>
      </c>
      <c r="D87" s="150">
        <v>0.96699999999999997</v>
      </c>
      <c r="F87"/>
    </row>
    <row r="88" spans="2:6" ht="15" hidden="1" x14ac:dyDescent="0.2">
      <c r="B88" s="94" t="s">
        <v>208</v>
      </c>
      <c r="C88" s="94" t="s">
        <v>124</v>
      </c>
      <c r="D88" s="150">
        <v>0.96699999999999997</v>
      </c>
      <c r="F88"/>
    </row>
    <row r="89" spans="2:6" ht="15" hidden="1" x14ac:dyDescent="0.2">
      <c r="B89" s="94" t="s">
        <v>209</v>
      </c>
      <c r="C89" s="95" t="s">
        <v>148</v>
      </c>
      <c r="D89" s="150">
        <v>1.0029999999999999</v>
      </c>
      <c r="F89"/>
    </row>
    <row r="90" spans="2:6" ht="15" hidden="1" x14ac:dyDescent="0.2">
      <c r="B90" s="94" t="s">
        <v>210</v>
      </c>
      <c r="C90" s="94" t="s">
        <v>124</v>
      </c>
      <c r="D90" s="150">
        <v>0.96699999999999997</v>
      </c>
      <c r="F90"/>
    </row>
    <row r="91" spans="2:6" ht="15" hidden="1" x14ac:dyDescent="0.2">
      <c r="B91" s="94" t="s">
        <v>211</v>
      </c>
      <c r="C91" s="95" t="s">
        <v>133</v>
      </c>
      <c r="D91" s="150">
        <v>1.0269999999999999</v>
      </c>
      <c r="F91"/>
    </row>
    <row r="92" spans="2:6" ht="15" hidden="1" x14ac:dyDescent="0.2">
      <c r="B92" s="94" t="s">
        <v>212</v>
      </c>
      <c r="C92" s="94" t="s">
        <v>122</v>
      </c>
      <c r="D92" s="150">
        <v>1.004</v>
      </c>
      <c r="F92"/>
    </row>
    <row r="93" spans="2:6" ht="15" hidden="1" x14ac:dyDescent="0.2">
      <c r="B93" s="94" t="s">
        <v>213</v>
      </c>
      <c r="C93" s="95" t="s">
        <v>133</v>
      </c>
      <c r="D93" s="150">
        <v>1.0269999999999999</v>
      </c>
      <c r="F93"/>
    </row>
    <row r="94" spans="2:6" ht="15" hidden="1" x14ac:dyDescent="0.2">
      <c r="B94" s="94" t="s">
        <v>214</v>
      </c>
      <c r="C94" s="94" t="s">
        <v>124</v>
      </c>
      <c r="D94" s="150">
        <v>0.96699999999999997</v>
      </c>
      <c r="F94"/>
    </row>
    <row r="95" spans="2:6" ht="15" hidden="1" x14ac:dyDescent="0.2">
      <c r="B95" s="94" t="s">
        <v>215</v>
      </c>
      <c r="C95" s="95" t="s">
        <v>133</v>
      </c>
      <c r="D95" s="150">
        <v>1.0269999999999999</v>
      </c>
      <c r="F95"/>
    </row>
    <row r="96" spans="2:6" ht="15" hidden="1" x14ac:dyDescent="0.2">
      <c r="B96" s="94" t="s">
        <v>216</v>
      </c>
      <c r="C96" s="95" t="s">
        <v>122</v>
      </c>
      <c r="D96" s="150">
        <v>1.004</v>
      </c>
      <c r="F96"/>
    </row>
    <row r="97" spans="2:6" ht="15" hidden="1" x14ac:dyDescent="0.2">
      <c r="B97" s="112" t="s">
        <v>217</v>
      </c>
      <c r="C97" s="113" t="s">
        <v>129</v>
      </c>
      <c r="D97" s="151">
        <v>0.98599999999999999</v>
      </c>
      <c r="F97"/>
    </row>
    <row r="98" spans="2:6" hidden="1" x14ac:dyDescent="0.2">
      <c r="B98" s="114" t="s">
        <v>234</v>
      </c>
      <c r="C98" s="114" t="s">
        <v>124</v>
      </c>
      <c r="D98" s="152">
        <v>0.96699999999999997</v>
      </c>
    </row>
    <row r="99" spans="2:6" hidden="1" x14ac:dyDescent="0.2">
      <c r="B99" s="114" t="s">
        <v>235</v>
      </c>
      <c r="C99" s="114" t="s">
        <v>124</v>
      </c>
      <c r="D99" s="152">
        <v>0.96699999999999997</v>
      </c>
    </row>
    <row r="100" spans="2:6" hidden="1" x14ac:dyDescent="0.2">
      <c r="B100" s="114" t="s">
        <v>236</v>
      </c>
      <c r="C100" s="114" t="s">
        <v>129</v>
      </c>
      <c r="D100" s="152">
        <v>0.98599999999999999</v>
      </c>
    </row>
    <row r="101" spans="2:6" hidden="1" x14ac:dyDescent="0.2">
      <c r="B101" s="114" t="s">
        <v>237</v>
      </c>
      <c r="C101" s="114" t="s">
        <v>122</v>
      </c>
      <c r="D101" s="152">
        <v>1.004</v>
      </c>
    </row>
    <row r="102" spans="2:6" hidden="1" x14ac:dyDescent="0.2">
      <c r="B102" s="114" t="s">
        <v>238</v>
      </c>
      <c r="C102" s="114" t="s">
        <v>129</v>
      </c>
      <c r="D102" s="152">
        <v>0.98599999999999999</v>
      </c>
    </row>
    <row r="103" spans="2:6" hidden="1" x14ac:dyDescent="0.2">
      <c r="B103" s="114" t="s">
        <v>239</v>
      </c>
      <c r="C103" s="114" t="s">
        <v>122</v>
      </c>
      <c r="D103" s="152">
        <v>1.004</v>
      </c>
    </row>
    <row r="104" spans="2:6" hidden="1" x14ac:dyDescent="0.2">
      <c r="B104" s="114" t="s">
        <v>240</v>
      </c>
      <c r="C104" s="114" t="s">
        <v>120</v>
      </c>
      <c r="D104" s="153">
        <v>0.99</v>
      </c>
    </row>
    <row r="105" spans="2:6" hidden="1" x14ac:dyDescent="0.2">
      <c r="B105" s="114" t="s">
        <v>241</v>
      </c>
      <c r="C105" s="114" t="s">
        <v>135</v>
      </c>
      <c r="D105" s="152">
        <v>0.96499999999999997</v>
      </c>
    </row>
    <row r="106" spans="2:6" hidden="1" x14ac:dyDescent="0.2">
      <c r="B106" s="114" t="s">
        <v>242</v>
      </c>
      <c r="C106" s="114" t="s">
        <v>124</v>
      </c>
      <c r="D106" s="153">
        <v>0.96699999999999997</v>
      </c>
    </row>
    <row r="107" spans="2:6" hidden="1" x14ac:dyDescent="0.2">
      <c r="B107" s="114" t="s">
        <v>243</v>
      </c>
      <c r="C107" s="114" t="s">
        <v>120</v>
      </c>
      <c r="D107" s="153">
        <v>0.99</v>
      </c>
    </row>
    <row r="108" spans="2:6" hidden="1" x14ac:dyDescent="0.2">
      <c r="B108" s="114" t="s">
        <v>244</v>
      </c>
      <c r="C108" s="114" t="s">
        <v>133</v>
      </c>
      <c r="D108" s="152">
        <v>1.0269999999999999</v>
      </c>
    </row>
    <row r="109" spans="2:6" hidden="1" x14ac:dyDescent="0.2"/>
  </sheetData>
  <sheetProtection algorithmName="SHA-512" hashValue="nIA1eXbpWdnhWhAmgVVUS7u1LxCpXs2fb8iF1HSiN7MUq2+AYbIWkDSJoPZAKxmtyojLf4n5fSLHF9tGwS7R5A==" saltValue="57fezOAUmEEqkfiVVYO2C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B24" sqref="B24"/>
    </sheetView>
  </sheetViews>
  <sheetFormatPr defaultColWidth="9.140625" defaultRowHeight="12.75" x14ac:dyDescent="0.2"/>
  <cols>
    <col min="1" max="1" width="37.85546875" style="30" customWidth="1"/>
    <col min="2" max="2" width="20.7109375" style="30" bestFit="1" customWidth="1"/>
    <col min="3" max="3" width="14.140625" style="30" customWidth="1"/>
    <col min="4" max="4" width="16" style="30" customWidth="1"/>
    <col min="5" max="5" width="14.140625" style="107" customWidth="1"/>
    <col min="6" max="6" width="11.28515625" style="30" bestFit="1" customWidth="1"/>
    <col min="7" max="16384" width="9.140625" style="30"/>
  </cols>
  <sheetData>
    <row r="1" spans="1:6" ht="15" x14ac:dyDescent="0.2">
      <c r="A1" s="29" t="s">
        <v>270</v>
      </c>
      <c r="C1" s="28"/>
      <c r="D1" s="28"/>
      <c r="E1" s="109"/>
      <c r="F1" s="28"/>
    </row>
    <row r="2" spans="1:6" x14ac:dyDescent="0.2">
      <c r="A2" s="31"/>
      <c r="B2" s="31"/>
      <c r="C2" s="31"/>
      <c r="D2" s="31"/>
      <c r="E2" s="109"/>
      <c r="F2" s="28"/>
    </row>
    <row r="3" spans="1:6" x14ac:dyDescent="0.2">
      <c r="A3" s="32" t="s">
        <v>11</v>
      </c>
      <c r="B3" s="28"/>
      <c r="C3" s="28"/>
      <c r="D3" s="5" t="s">
        <v>67</v>
      </c>
      <c r="E3" s="109"/>
      <c r="F3" s="28" t="s">
        <v>223</v>
      </c>
    </row>
    <row r="4" spans="1:6" x14ac:dyDescent="0.2">
      <c r="A4" s="57" t="s">
        <v>82</v>
      </c>
      <c r="B4" s="147">
        <f>'Direct Staffing'!C34</f>
        <v>6.2590869600000003</v>
      </c>
      <c r="D4" s="35">
        <f>B4</f>
        <v>6.2590869600000003</v>
      </c>
      <c r="E4" s="109"/>
      <c r="F4" s="28"/>
    </row>
    <row r="5" spans="1:6" x14ac:dyDescent="0.2">
      <c r="A5" s="31"/>
      <c r="B5" s="31"/>
      <c r="C5" s="31"/>
      <c r="D5" s="31"/>
      <c r="E5" s="109"/>
      <c r="F5" s="28"/>
    </row>
    <row r="6" spans="1:6" x14ac:dyDescent="0.2">
      <c r="A6" s="32" t="s">
        <v>31</v>
      </c>
      <c r="B6" s="28"/>
      <c r="C6" s="28"/>
      <c r="D6" s="28"/>
      <c r="E6" s="109"/>
      <c r="F6" s="28"/>
    </row>
    <row r="7" spans="1:6" x14ac:dyDescent="0.2">
      <c r="A7" s="33" t="s">
        <v>56</v>
      </c>
      <c r="B7" s="43">
        <f>'Program Plan Support'!C9</f>
        <v>5.6000000000000001E-2</v>
      </c>
      <c r="D7" s="35">
        <f>ROUND(B7*D4,9)</f>
        <v>0.35050886999999997</v>
      </c>
      <c r="E7" s="109"/>
      <c r="F7" s="28"/>
    </row>
    <row r="8" spans="1:6" x14ac:dyDescent="0.2">
      <c r="A8" s="31"/>
      <c r="B8" s="31"/>
      <c r="C8" s="31"/>
      <c r="D8" s="31"/>
      <c r="E8" s="109"/>
      <c r="F8" s="28"/>
    </row>
    <row r="9" spans="1:6" x14ac:dyDescent="0.2">
      <c r="A9" s="32" t="s">
        <v>1</v>
      </c>
      <c r="B9" s="28"/>
      <c r="C9" s="28"/>
      <c r="D9" s="28"/>
      <c r="E9" s="109"/>
      <c r="F9" s="28"/>
    </row>
    <row r="10" spans="1:6" x14ac:dyDescent="0.2">
      <c r="A10" s="33" t="s">
        <v>9</v>
      </c>
      <c r="B10" s="44">
        <f>'Emp. Related Exp.'!C19</f>
        <v>0.23599999999999999</v>
      </c>
      <c r="C10" s="35"/>
      <c r="D10" s="35">
        <f>ROUND(B10*(D4+D7),10)</f>
        <v>1.5598646159</v>
      </c>
      <c r="E10" s="109"/>
      <c r="F10" s="28"/>
    </row>
    <row r="11" spans="1:6" ht="16.5" customHeight="1" x14ac:dyDescent="0.2">
      <c r="A11" s="31"/>
      <c r="B11" s="31"/>
      <c r="C11" s="31"/>
      <c r="D11" s="31"/>
      <c r="E11" s="109"/>
      <c r="F11" s="28"/>
    </row>
    <row r="12" spans="1:6" x14ac:dyDescent="0.2">
      <c r="A12" s="32" t="s">
        <v>34</v>
      </c>
      <c r="B12" s="28"/>
      <c r="C12" s="28"/>
      <c r="D12" s="28"/>
      <c r="E12" s="109"/>
      <c r="F12" s="28"/>
    </row>
    <row r="13" spans="1:6" x14ac:dyDescent="0.2">
      <c r="A13" s="36" t="s">
        <v>35</v>
      </c>
      <c r="B13" s="148">
        <f>'Client Programming &amp; Supports'!C9</f>
        <v>0.13</v>
      </c>
      <c r="D13" s="37">
        <f>ROUND((D4+D7+D10)*B13,9)</f>
        <v>1.062029858</v>
      </c>
      <c r="E13" s="109"/>
      <c r="F13" s="28"/>
    </row>
    <row r="14" spans="1:6" x14ac:dyDescent="0.2">
      <c r="A14" s="31"/>
      <c r="B14" s="31"/>
      <c r="C14" s="31"/>
      <c r="D14" s="31"/>
      <c r="E14" s="109"/>
      <c r="F14" s="28"/>
    </row>
    <row r="15" spans="1:6" x14ac:dyDescent="0.2">
      <c r="A15" s="32" t="s">
        <v>46</v>
      </c>
      <c r="B15" s="28"/>
      <c r="C15" s="28"/>
      <c r="D15" s="28"/>
      <c r="E15" s="109"/>
      <c r="F15" s="28"/>
    </row>
    <row r="16" spans="1:6" x14ac:dyDescent="0.2">
      <c r="A16" s="36" t="s">
        <v>57</v>
      </c>
      <c r="B16" s="149">
        <f>'Program Facility'!C5</f>
        <v>0.40466666600000001</v>
      </c>
      <c r="D16" s="37">
        <f>B16</f>
        <v>0.40466666600000001</v>
      </c>
      <c r="E16" s="109"/>
      <c r="F16" s="28"/>
    </row>
    <row r="17" spans="1:8" x14ac:dyDescent="0.2">
      <c r="A17" s="31"/>
      <c r="B17" s="31"/>
      <c r="C17" s="31"/>
      <c r="D17" s="31"/>
      <c r="E17" s="109"/>
      <c r="F17" s="28"/>
    </row>
    <row r="18" spans="1:8" x14ac:dyDescent="0.2">
      <c r="A18" s="32" t="s">
        <v>13</v>
      </c>
      <c r="B18" s="28"/>
      <c r="C18" s="28"/>
      <c r="D18" s="28"/>
      <c r="E18" s="109"/>
      <c r="F18" s="28"/>
    </row>
    <row r="19" spans="1:8" x14ac:dyDescent="0.2">
      <c r="A19" s="33" t="s">
        <v>12</v>
      </c>
      <c r="B19" s="45">
        <f>'Program Related Expenses'!E8</f>
        <v>0.2445</v>
      </c>
      <c r="C19" s="35"/>
      <c r="D19" s="35">
        <f>E19-(D4+D7+D10+D13+D16)</f>
        <v>3.1185180400999979</v>
      </c>
      <c r="E19" s="109">
        <f>ROUND((D4+D7+D10+D13+D16)/(1-B19),9)</f>
        <v>12.75467501</v>
      </c>
      <c r="F19" s="28"/>
    </row>
    <row r="20" spans="1:8" x14ac:dyDescent="0.2">
      <c r="A20" s="96"/>
      <c r="B20" s="97"/>
      <c r="C20" s="35"/>
      <c r="D20" s="35"/>
      <c r="E20" s="109"/>
      <c r="F20" s="28"/>
    </row>
    <row r="21" spans="1:8" x14ac:dyDescent="0.2">
      <c r="A21" s="32" t="s">
        <v>218</v>
      </c>
      <c r="B21" s="98"/>
      <c r="C21" s="99"/>
      <c r="D21" s="99"/>
      <c r="E21" s="109"/>
      <c r="F21" s="100"/>
      <c r="G21" s="101"/>
    </row>
    <row r="22" spans="1:8" x14ac:dyDescent="0.2">
      <c r="A22" s="53" t="s">
        <v>219</v>
      </c>
      <c r="B22" s="102" t="str">
        <f>'Regional Variance Factor'!B7</f>
        <v>-</v>
      </c>
      <c r="C22" s="101"/>
      <c r="D22" s="103" t="str">
        <f>IF((B22&lt;&gt;"-"),((E19*B22)-E19),"Select County")</f>
        <v>Select County</v>
      </c>
      <c r="E22" s="109"/>
      <c r="F22" s="100"/>
      <c r="G22" s="104"/>
    </row>
    <row r="23" spans="1:8" x14ac:dyDescent="0.2">
      <c r="A23" s="31"/>
      <c r="B23" s="31"/>
      <c r="C23" s="31"/>
      <c r="D23" s="31"/>
      <c r="E23" s="109"/>
      <c r="F23" s="28"/>
    </row>
    <row r="24" spans="1:8" x14ac:dyDescent="0.2">
      <c r="A24" s="39" t="s">
        <v>83</v>
      </c>
      <c r="B24" s="34" t="str">
        <f>D24</f>
        <v>Select County</v>
      </c>
      <c r="D24" s="37" t="str">
        <f>IF((B22&lt;&gt;"-"),E19+D22,"Select County")</f>
        <v>Select County</v>
      </c>
      <c r="E24" s="109"/>
      <c r="F24" s="28"/>
    </row>
    <row r="25" spans="1:8" x14ac:dyDescent="0.2">
      <c r="A25" s="31"/>
      <c r="B25" s="31"/>
      <c r="C25" s="31"/>
      <c r="D25" s="31"/>
      <c r="E25" s="109"/>
      <c r="F25" s="28"/>
    </row>
    <row r="26" spans="1:8" s="121" customFormat="1" hidden="1" x14ac:dyDescent="0.2">
      <c r="A26" s="115" t="s">
        <v>72</v>
      </c>
      <c r="B26" s="116">
        <v>1</v>
      </c>
      <c r="C26" s="117"/>
      <c r="D26" s="117"/>
      <c r="E26" s="118"/>
      <c r="F26" s="117"/>
      <c r="G26" s="119"/>
      <c r="H26" s="120"/>
    </row>
    <row r="27" spans="1:8" s="121" customFormat="1" hidden="1" x14ac:dyDescent="0.2">
      <c r="A27" s="122" t="s">
        <v>85</v>
      </c>
      <c r="B27" s="123" t="str">
        <f>IF((B22&lt;&gt;"-"),G29,"-")</f>
        <v>-</v>
      </c>
      <c r="C27" s="117"/>
      <c r="D27" s="124"/>
      <c r="E27" s="118"/>
      <c r="F27" s="117"/>
      <c r="G27" s="125">
        <f>B26</f>
        <v>1</v>
      </c>
      <c r="H27" s="120"/>
    </row>
    <row r="28" spans="1:8" s="121" customFormat="1" hidden="1" x14ac:dyDescent="0.2">
      <c r="A28" s="126"/>
      <c r="B28" s="127"/>
      <c r="C28" s="117"/>
      <c r="D28" s="128"/>
      <c r="E28" s="129"/>
      <c r="F28" s="130"/>
      <c r="G28" s="119">
        <f>1-G27</f>
        <v>0</v>
      </c>
      <c r="H28" s="120"/>
    </row>
    <row r="29" spans="1:8" hidden="1" x14ac:dyDescent="0.2">
      <c r="A29" s="32" t="s">
        <v>245</v>
      </c>
      <c r="C29" s="101"/>
      <c r="D29" s="101"/>
      <c r="F29" s="101"/>
      <c r="G29" s="106" t="e">
        <f>((B24+B22)*G27)-(B24+B22)</f>
        <v>#VALUE!</v>
      </c>
      <c r="H29" s="105"/>
    </row>
    <row r="30" spans="1:8" hidden="1" x14ac:dyDescent="0.2">
      <c r="A30" s="53" t="s">
        <v>98</v>
      </c>
      <c r="B30" s="38" t="str">
        <f>IF((B22&lt;&gt;"-"),B24+B27,"Select County")</f>
        <v>Select County</v>
      </c>
      <c r="C30" s="101"/>
      <c r="D30" s="101"/>
      <c r="F30" s="101"/>
      <c r="G30" s="101"/>
      <c r="H30" s="107"/>
    </row>
    <row r="31" spans="1:8" hidden="1" x14ac:dyDescent="0.2">
      <c r="C31" s="101"/>
      <c r="D31" s="101"/>
      <c r="F31" s="101"/>
      <c r="G31" s="101"/>
    </row>
    <row r="32" spans="1:8" hidden="1" x14ac:dyDescent="0.2">
      <c r="A32" s="32" t="s">
        <v>99</v>
      </c>
      <c r="B32" s="98">
        <v>0.01</v>
      </c>
      <c r="C32" s="101"/>
      <c r="D32" s="101"/>
      <c r="F32" s="101"/>
      <c r="G32" s="101"/>
    </row>
    <row r="33" spans="1:7" hidden="1" x14ac:dyDescent="0.2">
      <c r="A33" s="53" t="s">
        <v>100</v>
      </c>
      <c r="B33" s="38" t="str">
        <f>IF((B22&lt;&gt;"-"),B32*B30,"-")</f>
        <v>-</v>
      </c>
      <c r="C33" s="101"/>
      <c r="D33" s="101"/>
      <c r="F33" s="101"/>
      <c r="G33" s="101"/>
    </row>
    <row r="34" spans="1:7" hidden="1" x14ac:dyDescent="0.2">
      <c r="C34" s="101"/>
      <c r="D34" s="101"/>
      <c r="F34" s="101"/>
      <c r="G34" s="101"/>
    </row>
    <row r="35" spans="1:7" hidden="1" x14ac:dyDescent="0.2">
      <c r="A35" s="32" t="s">
        <v>220</v>
      </c>
      <c r="C35" s="101"/>
      <c r="D35" s="101"/>
      <c r="F35" s="101"/>
      <c r="G35" s="101"/>
    </row>
    <row r="36" spans="1:7" hidden="1" x14ac:dyDescent="0.2">
      <c r="A36" s="53" t="s">
        <v>101</v>
      </c>
      <c r="B36" s="38" t="str">
        <f>IF(B22&lt;&gt;"-",B33+B30,"-")</f>
        <v>-</v>
      </c>
      <c r="C36" s="101"/>
      <c r="D36" s="101"/>
      <c r="F36" s="101"/>
      <c r="G36" s="101"/>
    </row>
    <row r="37" spans="1:7" hidden="1" x14ac:dyDescent="0.2">
      <c r="C37" s="101"/>
      <c r="D37" s="101"/>
      <c r="F37" s="101"/>
      <c r="G37" s="101"/>
    </row>
    <row r="38" spans="1:7" hidden="1" x14ac:dyDescent="0.2">
      <c r="A38" s="32" t="s">
        <v>103</v>
      </c>
      <c r="B38" s="98">
        <v>0.05</v>
      </c>
      <c r="C38" s="101"/>
      <c r="D38" s="101"/>
      <c r="F38" s="101"/>
      <c r="G38" s="101"/>
    </row>
    <row r="39" spans="1:7" hidden="1" x14ac:dyDescent="0.2">
      <c r="A39" s="53" t="s">
        <v>100</v>
      </c>
      <c r="B39" s="38" t="str">
        <f>IF(B22&lt;&gt;"-",B38*B36,"-")</f>
        <v>-</v>
      </c>
      <c r="C39" s="101"/>
      <c r="D39" s="101"/>
      <c r="F39" s="101"/>
      <c r="G39" s="101"/>
    </row>
    <row r="40" spans="1:7" hidden="1" x14ac:dyDescent="0.2">
      <c r="C40" s="101"/>
      <c r="D40" s="101"/>
      <c r="F40" s="101"/>
      <c r="G40" s="101"/>
    </row>
    <row r="41" spans="1:7" hidden="1" x14ac:dyDescent="0.2">
      <c r="A41" s="32" t="s">
        <v>221</v>
      </c>
      <c r="C41" s="101"/>
      <c r="D41" s="101"/>
      <c r="F41" s="101"/>
      <c r="G41" s="101"/>
    </row>
    <row r="42" spans="1:7" hidden="1" x14ac:dyDescent="0.2">
      <c r="A42" s="53" t="s">
        <v>101</v>
      </c>
      <c r="B42" s="38" t="str">
        <f>IF(B22&lt;&gt;"-",B39+B36,"-")</f>
        <v>-</v>
      </c>
      <c r="C42" s="101"/>
      <c r="D42" s="101"/>
      <c r="F42" s="101"/>
      <c r="G42" s="101"/>
    </row>
    <row r="43" spans="1:7" hidden="1" x14ac:dyDescent="0.2">
      <c r="C43" s="101"/>
      <c r="D43" s="101"/>
      <c r="F43" s="101"/>
      <c r="G43" s="101"/>
    </row>
    <row r="44" spans="1:7" hidden="1" x14ac:dyDescent="0.2">
      <c r="A44" s="32" t="s">
        <v>109</v>
      </c>
      <c r="B44" s="98">
        <v>0.01</v>
      </c>
      <c r="C44" s="101"/>
      <c r="D44" s="101"/>
      <c r="F44" s="101"/>
      <c r="G44" s="101"/>
    </row>
    <row r="45" spans="1:7" hidden="1" x14ac:dyDescent="0.2">
      <c r="A45" s="53" t="s">
        <v>100</v>
      </c>
      <c r="B45" s="38" t="str">
        <f>IF(B22&lt;&gt;"-",B44*B42,"-")</f>
        <v>-</v>
      </c>
      <c r="C45" s="101"/>
      <c r="D45" s="101"/>
      <c r="F45" s="101"/>
      <c r="G45" s="101"/>
    </row>
    <row r="46" spans="1:7" hidden="1" x14ac:dyDescent="0.2">
      <c r="C46" s="101"/>
      <c r="D46" s="101"/>
      <c r="F46" s="101"/>
      <c r="G46" s="101"/>
    </row>
    <row r="47" spans="1:7" hidden="1" x14ac:dyDescent="0.2">
      <c r="A47" s="32" t="s">
        <v>222</v>
      </c>
      <c r="C47" s="101"/>
      <c r="D47" s="101"/>
      <c r="F47" s="101"/>
      <c r="G47" s="101"/>
    </row>
    <row r="48" spans="1:7" hidden="1" x14ac:dyDescent="0.2">
      <c r="A48" s="53" t="s">
        <v>101</v>
      </c>
      <c r="B48" s="38" t="str">
        <f>IF(B22&lt;&gt;"-",B45+B42,"Select County")</f>
        <v>Select County</v>
      </c>
      <c r="C48" s="101"/>
      <c r="D48" s="101"/>
      <c r="F48" s="101"/>
      <c r="G48" s="101"/>
    </row>
  </sheetData>
  <sheetProtection algorithmName="SHA-512" hashValue="iXvTRjd1grAPIJT9SCtPJdqTVNWvUXUypkj8nnCe5LKJL8t5VcT+hRu2QCaXdW5gqgP1JlYtsZbHR/HqUtRKxQ==" saltValue="1H3/Z4Ls41UhMmeT5HKYVg==" spinCount="100000" sheet="1" objects="1" scenarios="1"/>
  <phoneticPr fontId="2" type="noConversion"/>
  <dataValidations xWindow="621" yWindow="472" count="23">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 D28" xr:uid="{00000000-0002-0000-0700-00000D000000}"/>
    <dataValidation allowBlank="1" showInputMessage="1" showErrorMessage="1" prompt="Budget Neutrality Rate" sqref="B21 B26" xr:uid="{00000000-0002-0000-0700-00000E000000}"/>
    <dataValidation allowBlank="1" showInputMessage="1" showErrorMessage="1" prompt="Cost of Living Adjustment formula is Original Total Unit Rate multiplied by COLA_x000a_" sqref="B45"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Total Unit Rate formula is Budget Neutrality Rate times Unit Rate " sqref="B30" xr:uid="{00000000-0002-0000-0700-000011000000}"/>
    <dataValidation allowBlank="1" showInputMessage="1" showErrorMessage="1" prompt="4/1/2014 COLA Increase " sqref="B32 B38 B44" xr:uid="{00000000-0002-0000-0700-000012000000}"/>
    <dataValidation allowBlank="1" showInputMessage="1" showErrorMessage="1" prompt="Post COLA Rate formula is Original Rate plus Cost of Living Adjustment" sqref="B36 B42 B48" xr:uid="{00000000-0002-0000-0700-000013000000}"/>
    <dataValidation allowBlank="1" showInputMessage="1" showErrorMessage="1" prompt="Unit Budget Neutrality formula is Total Unit Rate minus Unit Rate" sqref="B27:B28" xr:uid="{00000000-0002-0000-0700-000014000000}"/>
    <dataValidation allowBlank="1" showInputMessage="1" showErrorMessage="1" prompt="Cost of Living Adjustment formula is Original Total Unit Rate multiplied by COLA" sqref="B33" xr:uid="{00000000-0002-0000-0700-000015000000}"/>
    <dataValidation allowBlank="1" showInputMessage="1" showErrorMessage="1" prompt="Cost of Living Adjustment formula is Original Total Unit Rate  multiplied by COLA" sqref="B39" xr:uid="{00000000-0002-0000-0700-000016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31"/>
  <sheetViews>
    <sheetView topLeftCell="A23" workbookViewId="0">
      <selection activeCell="A31" sqref="A31:C31"/>
    </sheetView>
  </sheetViews>
  <sheetFormatPr defaultRowHeight="12.75" x14ac:dyDescent="0.2"/>
  <cols>
    <col min="1" max="1" width="15.140625" customWidth="1"/>
    <col min="2" max="2" width="47.140625" style="88" customWidth="1"/>
  </cols>
  <sheetData>
    <row r="2" spans="1:3" ht="38.25" customHeight="1" x14ac:dyDescent="0.2"/>
    <row r="4" spans="1:3" ht="18.75" customHeight="1" x14ac:dyDescent="0.2">
      <c r="A4" s="131"/>
      <c r="B4" s="132"/>
      <c r="C4" s="131"/>
    </row>
    <row r="5" spans="1:3" ht="13.9" customHeight="1" x14ac:dyDescent="0.2">
      <c r="A5" s="131"/>
      <c r="B5" s="132"/>
      <c r="C5" s="131"/>
    </row>
    <row r="6" spans="1:3" x14ac:dyDescent="0.2">
      <c r="A6" s="133">
        <v>41610</v>
      </c>
      <c r="B6" s="132" t="s">
        <v>94</v>
      </c>
      <c r="C6" s="131" t="s">
        <v>106</v>
      </c>
    </row>
    <row r="7" spans="1:3" x14ac:dyDescent="0.2">
      <c r="A7" s="133">
        <v>41684</v>
      </c>
      <c r="B7" s="132" t="s">
        <v>95</v>
      </c>
      <c r="C7" s="131" t="s">
        <v>106</v>
      </c>
    </row>
    <row r="8" spans="1:3" ht="25.5" x14ac:dyDescent="0.2">
      <c r="A8" s="133">
        <v>41684</v>
      </c>
      <c r="B8" s="132" t="s">
        <v>96</v>
      </c>
      <c r="C8" s="131" t="s">
        <v>106</v>
      </c>
    </row>
    <row r="9" spans="1:3" x14ac:dyDescent="0.2">
      <c r="A9" s="133">
        <v>41709</v>
      </c>
      <c r="B9" s="132" t="s">
        <v>97</v>
      </c>
      <c r="C9" s="131" t="s">
        <v>107</v>
      </c>
    </row>
    <row r="10" spans="1:3" x14ac:dyDescent="0.2">
      <c r="A10" s="133">
        <v>41808</v>
      </c>
      <c r="B10" s="132" t="s">
        <v>102</v>
      </c>
      <c r="C10" s="131" t="s">
        <v>108</v>
      </c>
    </row>
    <row r="11" spans="1:3" x14ac:dyDescent="0.2">
      <c r="A11" s="133">
        <v>42164</v>
      </c>
      <c r="B11" s="132" t="s">
        <v>104</v>
      </c>
      <c r="C11" s="131" t="s">
        <v>105</v>
      </c>
    </row>
    <row r="12" spans="1:3" x14ac:dyDescent="0.2">
      <c r="A12" s="133">
        <v>42339</v>
      </c>
      <c r="B12" s="132" t="s">
        <v>224</v>
      </c>
      <c r="C12" s="131" t="s">
        <v>225</v>
      </c>
    </row>
    <row r="13" spans="1:3" ht="25.5" x14ac:dyDescent="0.2">
      <c r="A13" s="134">
        <v>42522</v>
      </c>
      <c r="B13" s="135" t="s">
        <v>227</v>
      </c>
      <c r="C13" s="136" t="s">
        <v>226</v>
      </c>
    </row>
    <row r="14" spans="1:3" x14ac:dyDescent="0.2">
      <c r="A14" s="134">
        <v>42522</v>
      </c>
      <c r="B14" s="135" t="s">
        <v>228</v>
      </c>
      <c r="C14" s="136" t="s">
        <v>226</v>
      </c>
    </row>
    <row r="15" spans="1:3" ht="38.25" x14ac:dyDescent="0.2">
      <c r="A15" s="133">
        <v>42522</v>
      </c>
      <c r="B15" s="132" t="s">
        <v>229</v>
      </c>
      <c r="C15" s="131" t="s">
        <v>226</v>
      </c>
    </row>
    <row r="16" spans="1:3" ht="25.5" x14ac:dyDescent="0.2">
      <c r="A16" s="133">
        <v>42887</v>
      </c>
      <c r="B16" s="137" t="s">
        <v>230</v>
      </c>
      <c r="C16" s="138" t="s">
        <v>231</v>
      </c>
    </row>
    <row r="17" spans="1:3" x14ac:dyDescent="0.2">
      <c r="A17" s="133">
        <v>43101</v>
      </c>
      <c r="B17" s="137" t="s">
        <v>233</v>
      </c>
      <c r="C17" s="138" t="s">
        <v>232</v>
      </c>
    </row>
    <row r="18" spans="1:3" x14ac:dyDescent="0.2">
      <c r="A18" s="133">
        <v>43282</v>
      </c>
      <c r="B18" s="132" t="s">
        <v>246</v>
      </c>
      <c r="C18" s="138" t="s">
        <v>247</v>
      </c>
    </row>
    <row r="19" spans="1:3" x14ac:dyDescent="0.2">
      <c r="A19" s="133">
        <v>43282</v>
      </c>
      <c r="B19" s="137" t="s">
        <v>248</v>
      </c>
      <c r="C19" s="138" t="s">
        <v>247</v>
      </c>
    </row>
    <row r="20" spans="1:3" ht="25.5" x14ac:dyDescent="0.2">
      <c r="A20" s="133">
        <v>43466</v>
      </c>
      <c r="B20" s="137" t="s">
        <v>250</v>
      </c>
      <c r="C20" s="138" t="s">
        <v>249</v>
      </c>
    </row>
    <row r="21" spans="1:3" x14ac:dyDescent="0.2">
      <c r="A21" s="133">
        <v>43831</v>
      </c>
      <c r="B21" s="138" t="s">
        <v>252</v>
      </c>
      <c r="C21" s="138" t="s">
        <v>251</v>
      </c>
    </row>
    <row r="22" spans="1:3" x14ac:dyDescent="0.2">
      <c r="A22" s="143" t="s">
        <v>254</v>
      </c>
      <c r="B22" s="139" t="s">
        <v>255</v>
      </c>
      <c r="C22" s="139" t="s">
        <v>253</v>
      </c>
    </row>
    <row r="23" spans="1:3" x14ac:dyDescent="0.2">
      <c r="A23" s="133">
        <v>44197</v>
      </c>
      <c r="B23" s="132"/>
      <c r="C23" s="139" t="s">
        <v>271</v>
      </c>
    </row>
    <row r="24" spans="1:3" x14ac:dyDescent="0.2">
      <c r="A24" s="133">
        <v>44287</v>
      </c>
      <c r="B24" s="132" t="s">
        <v>272</v>
      </c>
      <c r="C24" s="139" t="s">
        <v>273</v>
      </c>
    </row>
    <row r="25" spans="1:3" ht="76.5" x14ac:dyDescent="0.2">
      <c r="A25" s="144">
        <v>44562</v>
      </c>
      <c r="B25" s="88" t="s">
        <v>274</v>
      </c>
      <c r="C25" s="139" t="s">
        <v>275</v>
      </c>
    </row>
    <row r="26" spans="1:3" x14ac:dyDescent="0.2">
      <c r="A26" s="144">
        <v>44720</v>
      </c>
      <c r="B26" s="88" t="s">
        <v>286</v>
      </c>
      <c r="C26" s="139" t="s">
        <v>287</v>
      </c>
    </row>
    <row r="27" spans="1:3" x14ac:dyDescent="0.2">
      <c r="A27" s="144">
        <v>44844</v>
      </c>
      <c r="B27" s="88" t="s">
        <v>288</v>
      </c>
      <c r="C27" s="139" t="s">
        <v>289</v>
      </c>
    </row>
    <row r="28" spans="1:3" ht="25.5" x14ac:dyDescent="0.2">
      <c r="A28" s="144">
        <v>45245</v>
      </c>
      <c r="B28" s="88" t="s">
        <v>290</v>
      </c>
      <c r="C28" s="139" t="s">
        <v>291</v>
      </c>
    </row>
    <row r="29" spans="1:3" x14ac:dyDescent="0.2">
      <c r="A29" s="144">
        <v>45631</v>
      </c>
      <c r="B29" s="88" t="s">
        <v>288</v>
      </c>
      <c r="C29" s="139" t="s">
        <v>292</v>
      </c>
    </row>
    <row r="30" spans="1:3" ht="25.5" x14ac:dyDescent="0.2">
      <c r="A30" s="144">
        <v>45896</v>
      </c>
      <c r="B30" s="88" t="s">
        <v>293</v>
      </c>
      <c r="C30" s="139" t="s">
        <v>294</v>
      </c>
    </row>
    <row r="31" spans="1:3" ht="25.5" x14ac:dyDescent="0.2">
      <c r="A31" s="144">
        <v>45902</v>
      </c>
      <c r="B31" s="88" t="s">
        <v>295</v>
      </c>
      <c r="C31" s="139" t="s">
        <v>294</v>
      </c>
    </row>
  </sheetData>
  <sheetProtection algorithmName="SHA-512" hashValue="rhihcBCCHlSxUEZsdOEcMTaGoWEKqTE/Fih+7TnjYmpUDCWerZhJOV/XFTymSWCc2RTVhXRavuDDAyOHR3HMFA==" saltValue="SALU21tq1eYt0/PhJeUNsQ==" spinCount="100000" sheet="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S2EJPDAADAY4-1521811817-558</_dlc_DocId>
    <_dlc_DocIdUrl xmlns="0cdeeaad-74a8-4021-893f-c7b31297a14c">
      <Url>https://workplace/cc/MnSPA/_layouts/15/DocIdRedir.aspx?ID=S2EJPDAADAY4-1521811817-558</Url>
      <Description>S2EJPDAADAY4-1521811817-558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70D04-F942-4421-B19C-4E734C27FDF3}">
  <ds:schemaRefs>
    <ds:schemaRef ds:uri="http://schemas.microsoft.com/sharepoint/v3/contenttype/forms"/>
  </ds:schemaRefs>
</ds:datastoreItem>
</file>

<file path=customXml/itemProps2.xml><?xml version="1.0" encoding="utf-8"?>
<ds:datastoreItem xmlns:ds="http://schemas.openxmlformats.org/officeDocument/2006/customXml" ds:itemID="{2E42D227-8437-4566-8734-CB784924C14B}">
  <ds:schemaRefs>
    <ds:schemaRef ds:uri="http://schemas.microsoft.com/office/2006/metadata/longProperties"/>
  </ds:schemaRefs>
</ds:datastoreItem>
</file>

<file path=customXml/itemProps3.xml><?xml version="1.0" encoding="utf-8"?>
<ds:datastoreItem xmlns:ds="http://schemas.openxmlformats.org/officeDocument/2006/customXml" ds:itemID="{17D9B6F5-9471-4ED5-87D1-C8A11FC8B523}">
  <ds:schemaRefs>
    <ds:schemaRef ds:uri="http://schemas.microsoft.com/sharepoint/events"/>
  </ds:schemaRefs>
</ds:datastoreItem>
</file>

<file path=customXml/itemProps4.xml><?xml version="1.0" encoding="utf-8"?>
<ds:datastoreItem xmlns:ds="http://schemas.openxmlformats.org/officeDocument/2006/customXml" ds:itemID="{6A587533-16D8-4D42-A47B-59CE247EE764}">
  <ds:schemaRefs>
    <ds:schemaRef ds:uri="http://purl.org/dc/terms/"/>
    <ds:schemaRef ds:uri="http://purl.org/dc/elements/1.1/"/>
    <ds:schemaRef ds:uri="http://www.w3.org/XML/1998/namespace"/>
    <ds:schemaRef ds:uri="http://purl.org/dc/dcmitype/"/>
    <ds:schemaRef ds:uri="0cdeeaad-74a8-4021-893f-c7b31297a14c"/>
    <ds:schemaRef ds:uri="http://schemas.microsoft.com/office/2006/documentManagement/types"/>
    <ds:schemaRef ds:uri="http://schemas.openxmlformats.org/package/2006/metadata/core-properties"/>
    <ds:schemaRef ds:uri="http://schemas.microsoft.com/office/infopath/2007/PartnerControls"/>
    <ds:schemaRef ds:uri="39dc04e4-1dc7-4207-b25c-d7db9724c689"/>
    <ds:schemaRef ds:uri="http://schemas.microsoft.com/office/2006/metadata/properties"/>
  </ds:schemaRefs>
</ds:datastoreItem>
</file>

<file path=customXml/itemProps5.xml><?xml version="1.0" encoding="utf-8"?>
<ds:datastoreItem xmlns:ds="http://schemas.openxmlformats.org/officeDocument/2006/customXml" ds:itemID="{E0CFF65A-0DB1-4405-B752-551D466BB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Day Support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Day Support Services 15Min v17</dc:title>
  <dc:creator>pwmfb67</dc:creator>
  <cp:lastModifiedBy>Koepsell, Sara (DHS)</cp:lastModifiedBy>
  <cp:lastPrinted>2010-07-26T14:38:27Z</cp:lastPrinted>
  <dcterms:created xsi:type="dcterms:W3CDTF">2009-10-20T14:58:44Z</dcterms:created>
  <dcterms:modified xsi:type="dcterms:W3CDTF">2025-09-02T19:56:02Z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S2EJPDAADAY4-1521811817-558</vt:lpwstr>
  </property>
  <property fmtid="{D5CDD505-2E9C-101B-9397-08002B2CF9AE}" pid="8" name="_dlc_DocIdItemGuid">
    <vt:lpwstr>a33d0577-433b-4cb8-8106-a0af93e239a5</vt:lpwstr>
  </property>
  <property fmtid="{D5CDD505-2E9C-101B-9397-08002B2CF9AE}" pid="9" name="_dlc_DocIdUrl">
    <vt:lpwstr>https://workplace/cc/MnSPA/_layouts/15/DocIdRedir.aspx?ID=S2EJPDAADAY4-1521811817-558, S2EJPDAADAY4-1521811817-558</vt:lpwstr>
  </property>
</Properties>
</file>