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showObjects="placeholders"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F462A7D3-C245-409F-A707-9B67C5C780D8}" xr6:coauthVersionLast="47" xr6:coauthVersionMax="47" xr10:uidLastSave="{00000000-0000-0000-0000-000000000000}"/>
  <bookViews>
    <workbookView xWindow="28680" yWindow="120" windowWidth="29040" windowHeight="15720"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Corp Basic Rate Totals" sheetId="9" r:id="rId7"/>
    <sheet name="Version" sheetId="11" state="hidden" r:id="rId8"/>
  </sheets>
  <definedNames>
    <definedName name="_xlnm._FilterDatabase" localSheetId="0" hidden="1">'Direct Staffing'!$A$9:$E$10</definedName>
    <definedName name="Budget_Neutrality">'Res Corp Basic Rate Totals'!$A$26:$B$27</definedName>
    <definedName name="columntitleregion1.b30.g36.1">'Direct Staffing'!$A$49:$E$51</definedName>
    <definedName name="Customization">'Direct Staffing'!$A$45:$F$48</definedName>
    <definedName name="Individual_Remote">'Direct Staffing'!$A$40:$E$42</definedName>
    <definedName name="IndividualAmountForRemoteStaff">'Direct Staffing'!$A$33:$E$34</definedName>
    <definedName name="IndividualAmountForSharedStaff">'Direct Staffing'!$A$12:$E$14</definedName>
    <definedName name="IndividualOnsiteStaff">'Direct Staffing'!$A$35:$E$38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Corp Basic Rate Totals'!$A$1:$D$26</definedName>
    <definedName name="_xlnm.Print_Area" localSheetId="2">Transportation!$A$1:$F$22</definedName>
    <definedName name="ReliefStaff">'Direct Staffing'!$A$58:$F$61</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Staffing'!$A$36:$E$38</definedName>
    <definedName name="TotalRemoteStaff">'Direct Staffing'!$A$70:$C$71</definedName>
    <definedName name="TotalStaffing">'Direct Staffing'!$A$67:$C$68</definedName>
    <definedName name="Transportation">Transportation!$A$4:$D$8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4" i="10" s="1"/>
  <c r="E34" i="10" s="1"/>
  <c r="B5" i="12"/>
  <c r="E16" i="6"/>
  <c r="C19" i="3"/>
  <c r="B10" i="9" s="1"/>
  <c r="B16" i="9"/>
  <c r="D16" i="9" s="1"/>
  <c r="B7" i="12"/>
  <c r="B22" i="9" s="1"/>
  <c r="E13" i="6"/>
  <c r="E6" i="6"/>
  <c r="F5" i="5"/>
  <c r="C12" i="4"/>
  <c r="C13" i="4" s="1"/>
  <c r="B13" i="9" s="1"/>
  <c r="D13" i="9" s="1"/>
  <c r="G7" i="4"/>
  <c r="G6" i="4"/>
  <c r="E59" i="10"/>
  <c r="E55" i="10"/>
  <c r="D50" i="10"/>
  <c r="E50" i="10" s="1"/>
  <c r="D46" i="10"/>
  <c r="E46" i="10" s="1"/>
  <c r="E38" i="10"/>
  <c r="C30" i="10"/>
  <c r="D22" i="10"/>
  <c r="D18" i="10"/>
  <c r="B19" i="9" l="1"/>
  <c r="D22" i="9"/>
  <c r="D24" i="9" s="1"/>
  <c r="B24" i="9" s="1"/>
  <c r="B29" i="9" s="1"/>
  <c r="B26" i="10"/>
  <c r="E26" i="10" s="1"/>
  <c r="A30" i="10" s="1"/>
  <c r="D30" i="10" s="1"/>
  <c r="C42" i="10"/>
  <c r="E42" i="10" s="1"/>
  <c r="C10" i="10"/>
  <c r="B32" i="9" l="1"/>
  <c r="B27" i="9"/>
  <c r="B34" i="9"/>
  <c r="C71" i="10"/>
  <c r="B7" i="9" s="1"/>
  <c r="D7" i="9" s="1"/>
  <c r="J11" i="10"/>
  <c r="J10" i="10"/>
  <c r="E10" i="10"/>
  <c r="A14" i="10" s="1"/>
  <c r="D14" i="10" s="1"/>
  <c r="J13" i="10"/>
  <c r="J15" i="10"/>
  <c r="J14" i="10"/>
  <c r="J12" i="10"/>
  <c r="B37" i="9" l="1"/>
  <c r="B39" i="9" s="1"/>
  <c r="F63" i="10"/>
  <c r="F64" i="10" s="1"/>
  <c r="C68" i="10" s="1"/>
  <c r="B4" i="9" s="1"/>
  <c r="B42" i="9" l="1"/>
  <c r="B44" i="9" s="1"/>
  <c r="D4" i="9"/>
  <c r="D10" i="9"/>
  <c r="E19" i="9" l="1"/>
  <c r="D19" i="9" s="1"/>
</calcChain>
</file>

<file path=xl/sharedStrings.xml><?xml version="1.0" encoding="utf-8"?>
<sst xmlns="http://schemas.openxmlformats.org/spreadsheetml/2006/main" count="417" uniqueCount="289">
  <si>
    <t>Direct Staffing</t>
  </si>
  <si>
    <t>Step 1. Determine wage for direct care worker</t>
  </si>
  <si>
    <t>Base hourly wage</t>
  </si>
  <si>
    <t>Competitive Workforce Factor (CWF)</t>
  </si>
  <si>
    <t>Total wage per hour of service</t>
  </si>
  <si>
    <r>
      <t xml:space="preserve">Step 2. Add hours for </t>
    </r>
    <r>
      <rPr>
        <b/>
        <sz val="10"/>
        <color indexed="8"/>
        <rFont val="Arial"/>
        <family val="2"/>
      </rPr>
      <t>SHARED DAYTIME</t>
    </r>
    <r>
      <rPr>
        <b/>
        <sz val="10"/>
        <rFont val="Arial"/>
        <family val="2"/>
      </rPr>
      <t xml:space="preserve"> On-Site Awake staff</t>
    </r>
  </si>
  <si>
    <t>Staff Type</t>
  </si>
  <si>
    <t>CWF Wage</t>
  </si>
  <si>
    <t>Hours per Day</t>
  </si>
  <si>
    <t>Amount per Day</t>
  </si>
  <si>
    <t>Total Daytime Shared Staffing</t>
  </si>
  <si>
    <t>Step 3. Enter Number of Residents</t>
  </si>
  <si>
    <t>Total Shared Staffing Daytime Amount</t>
  </si>
  <si>
    <t># of Residents</t>
  </si>
  <si>
    <t>Total individual amount for daytime awake shared staffing</t>
  </si>
  <si>
    <r>
      <t xml:space="preserve">Step 4. Add hours </t>
    </r>
    <r>
      <rPr>
        <b/>
        <sz val="10"/>
        <color indexed="8"/>
        <rFont val="Arial"/>
        <family val="2"/>
      </rPr>
      <t>for SHARED OVERNIGHT staff</t>
    </r>
  </si>
  <si>
    <t>Wage</t>
  </si>
  <si>
    <t>Hours per Day of Shared Overnight Staff</t>
  </si>
  <si>
    <t>Total individual amount for overnight shared staffing</t>
  </si>
  <si>
    <t>Total Overnight Shared Staffing</t>
  </si>
  <si>
    <t>Step 5. Add staffing customization for individuals who require SHARED AWAKE OVERNIGHT staff</t>
  </si>
  <si>
    <t>YES</t>
  </si>
  <si>
    <t>Does the individual require SHARED AWAKE overnight staff?</t>
  </si>
  <si>
    <t xml:space="preserve">Total # of Residents Requiring Shared Awake Overnight Staff </t>
  </si>
  <si>
    <t>Total Awake Overnight Customization per Day</t>
  </si>
  <si>
    <t>NO</t>
  </si>
  <si>
    <t>Step 6. Add hours for SHARED REMOTE Staff</t>
  </si>
  <si>
    <t>Remote Shared Staff</t>
  </si>
  <si>
    <t>Step 7. Enter number of individuals who receive remote shared staff</t>
  </si>
  <si>
    <t>Total Remote Shared Staff Amount</t>
  </si>
  <si>
    <t>Total individual amount for Remote Shared Staff</t>
  </si>
  <si>
    <t xml:space="preserve">Step 8. Add hours for INDIVIDUAL on-site awake staff </t>
  </si>
  <si>
    <t xml:space="preserve">On-site Primary Staff/Awake Hours </t>
  </si>
  <si>
    <t xml:space="preserve">Step 9. Add hours for INDIVIDUAL on-site asleep staff </t>
  </si>
  <si>
    <t>Asleep Staff</t>
  </si>
  <si>
    <t>Step 10. Add hours for INDIVIDUAL REMOTE Hours</t>
  </si>
  <si>
    <t>Individual Remote Staff</t>
  </si>
  <si>
    <t>Step 11. Add % to cover Supervision</t>
  </si>
  <si>
    <t>Direct Care Supervision</t>
  </si>
  <si>
    <t>Supervision Percent</t>
  </si>
  <si>
    <t>Amount Per Day</t>
  </si>
  <si>
    <t>Step 12.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</si>
  <si>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</si>
  <si>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</si>
  <si>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</si>
  <si>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</si>
  <si>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</si>
  <si>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</si>
  <si>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</si>
  <si>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13. Add hours for RN</t>
  </si>
  <si>
    <t>RN</t>
  </si>
  <si>
    <t>Step 14. Add hours for LPN</t>
  </si>
  <si>
    <t>LPN</t>
  </si>
  <si>
    <t>Step 15.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</si>
  <si>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</si>
  <si>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</si>
  <si>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</si>
  <si>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</si>
  <si>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</si>
  <si>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16. Calculate Total Staffing</t>
  </si>
  <si>
    <t xml:space="preserve">Total staffing </t>
  </si>
  <si>
    <t>Step 17. Calculate Remote Staff</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</si>
  <si>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</si>
  <si>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</si>
  <si>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</si>
  <si>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</si>
  <si>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</si>
  <si>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</si>
  <si>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</si>
  <si>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</si>
  <si>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</si>
  <si>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</si>
  <si>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</si>
  <si>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</si>
  <si>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</si>
  <si>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</si>
  <si>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</si>
  <si>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</si>
  <si>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</si>
  <si>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Transportation</t>
  </si>
  <si>
    <t>Step 1. Add annual individual transportation standard</t>
  </si>
  <si>
    <t>Transportation Options</t>
  </si>
  <si>
    <t>Transportation Standard</t>
  </si>
  <si>
    <t>Transportation Standard Included</t>
  </si>
  <si>
    <t>No transportation</t>
  </si>
  <si>
    <t>Standard vehicle</t>
  </si>
  <si>
    <t xml:space="preserve">Adapted vehicle with lift </t>
  </si>
  <si>
    <t xml:space="preserve">**Note: standard = federal mileage rates * miles per year </t>
  </si>
  <si>
    <t>Step 3. Calculate total annual transportation dollars</t>
  </si>
  <si>
    <t>Total Transportation $</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</si>
  <si>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</si>
  <si>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</si>
  <si>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</si>
  <si>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</si>
  <si>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</si>
  <si>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</si>
  <si>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</si>
  <si>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</si>
  <si>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</si>
  <si>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</si>
  <si>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</si>
  <si>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</si>
  <si>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</si>
  <si>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</si>
  <si>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</si>
  <si>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</si>
  <si>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</si>
  <si>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</si>
  <si>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</si>
  <si>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</si>
  <si>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</si>
  <si>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</si>
  <si>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</si>
  <si>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</si>
  <si>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</si>
  <si>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</si>
  <si>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</si>
  <si>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</si>
  <si>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</si>
  <si>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</si>
  <si>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</si>
  <si>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</si>
  <si>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</si>
  <si>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</si>
  <si>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</si>
  <si>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</si>
  <si>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</si>
  <si>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</si>
  <si>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</si>
  <si>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</si>
  <si>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</si>
  <si>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</si>
  <si>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</si>
  <si>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</si>
  <si>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</si>
  <si>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</si>
  <si>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</si>
  <si>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</si>
  <si>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</si>
  <si>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</si>
  <si>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</si>
  <si>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</si>
  <si>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</si>
  <si>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</si>
  <si>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</si>
  <si>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</si>
  <si>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</si>
  <si>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</si>
  <si>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</si>
  <si>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</si>
  <si>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</si>
  <si>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</si>
  <si>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</si>
  <si>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</si>
  <si>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</si>
  <si>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</si>
  <si>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</si>
  <si>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</si>
  <si>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</si>
  <si>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</si>
  <si>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</si>
  <si>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</si>
  <si>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</si>
  <si>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</si>
  <si>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</si>
  <si>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</si>
  <si>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</si>
  <si>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</si>
  <si>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</si>
  <si>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</si>
  <si>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</si>
  <si>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</si>
  <si>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</si>
  <si>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</si>
  <si>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</si>
  <si>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</si>
  <si>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</si>
  <si>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</si>
  <si>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</si>
  <si>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</si>
  <si>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</si>
  <si>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</si>
  <si>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</si>
  <si>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</si>
  <si>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</si>
  <si>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</si>
  <si>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</si>
  <si>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</si>
  <si>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</si>
  <si>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</si>
  <si>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</si>
  <si>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</si>
  <si>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</si>
  <si>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</si>
  <si>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</si>
  <si>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</si>
  <si>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</si>
  <si>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</si>
  <si>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</si>
  <si>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</si>
  <si>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</si>
  <si>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</si>
  <si>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</si>
  <si>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</si>
  <si>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</si>
  <si>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</si>
  <si>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</si>
  <si>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</si>
  <si>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</si>
  <si>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</si>
  <si>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</si>
  <si>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</si>
  <si>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</si>
  <si>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</si>
  <si>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</si>
  <si>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</si>
  <si>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</si>
  <si>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</si>
  <si>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</si>
  <si>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</si>
  <si>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</si>
  <si>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</si>
  <si>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</si>
  <si>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</si>
  <si>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</si>
  <si>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</si>
  <si>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FOR Residential Support Services Corporate Basic</t>
  </si>
  <si>
    <t>Rate Calculation:</t>
  </si>
  <si>
    <t>Total costs for individual and shared staffing</t>
  </si>
  <si>
    <t>Remote Shared Staffing</t>
  </si>
  <si>
    <t>Total costs for remote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</si>
  <si>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</si>
  <si>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</si>
  <si>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</si>
  <si>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</si>
  <si>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</si>
  <si>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</si>
  <si>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</si>
  <si>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</si>
  <si>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</si>
  <si>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</si>
  <si>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Final Unit Rate</t>
  </si>
  <si>
    <t>4/1/2014 COLA</t>
  </si>
  <si>
    <t>Cost of Living Adjustment</t>
  </si>
  <si>
    <t>Post 4/1/14 COLA Total Daily Rate</t>
  </si>
  <si>
    <t>7/1/2014 COLA</t>
  </si>
  <si>
    <t>Post 7/1/14 COLA Total Daily Rate</t>
  </si>
  <si>
    <t>7/1/2015 COLA</t>
  </si>
  <si>
    <t>Post 7/1/15 COLA Total Daily Rate</t>
  </si>
  <si>
    <t>Date</t>
  </si>
  <si>
    <t>Update</t>
  </si>
  <si>
    <t>implementation version</t>
  </si>
  <si>
    <t>Version 1</t>
  </si>
  <si>
    <t>Updated to reflect 4/1/2014 COLA increase of 1%</t>
  </si>
  <si>
    <t>Version 2</t>
  </si>
  <si>
    <t>Updated to reflect 7/1/2014 COLA increase of 5%</t>
  </si>
  <si>
    <t>Version 3</t>
  </si>
  <si>
    <t>7/1/15 COLA increase of 1% added</t>
  </si>
  <si>
    <t>Version 4</t>
  </si>
  <si>
    <t>Regional Variance Factor added</t>
  </si>
  <si>
    <t>Version 5</t>
  </si>
  <si>
    <t>Updates to Shared Staff for Overnight Awake Staff</t>
  </si>
  <si>
    <t>Version 6</t>
  </si>
  <si>
    <t>Updates to Wages/Components for 7/1/17 legislation</t>
  </si>
  <si>
    <t>Version 7</t>
  </si>
  <si>
    <t>Remove COLA</t>
  </si>
  <si>
    <t>Version 9</t>
  </si>
  <si>
    <t>Increase Asleep Wage and RN Wage and Supervisor Wage, update to asleep overnight add-on</t>
  </si>
  <si>
    <t>Version 10</t>
  </si>
  <si>
    <t>Updated minimum wage for Asleep, hidden BNF</t>
  </si>
  <si>
    <t>Version 11</t>
  </si>
  <si>
    <t>Added CWF</t>
  </si>
  <si>
    <t>Version 12</t>
  </si>
  <si>
    <t>No Change</t>
  </si>
  <si>
    <t>Version 13</t>
  </si>
  <si>
    <t>Version 14</t>
  </si>
  <si>
    <t>New value for direct care staff wage component,
staff wage component,
supervisor wage,
RN wage,
LPN wage,
client programming and support component,
transportation components</t>
  </si>
  <si>
    <t>Version 15</t>
  </si>
  <si>
    <t>Updated RVF</t>
  </si>
  <si>
    <t>Version 16</t>
  </si>
  <si>
    <t>Shared overnight staff wage increase, Onsite awake staff wage increase, Overnight customization lookup increase</t>
  </si>
  <si>
    <t>Version 17</t>
  </si>
  <si>
    <t>Changes to Direct Staffing, Transportation,Client Programming</t>
  </si>
  <si>
    <t>Version 18</t>
  </si>
  <si>
    <t>Change to Direct Care Asleep Overnight Wage</t>
  </si>
  <si>
    <t>Version 19</t>
  </si>
  <si>
    <t>Increase to DC Wage, Asleep staff wage, Sup wage, RN wage, LPN Wage, Client programming&amp; support, transportation standard &amp; adapted.</t>
  </si>
  <si>
    <t>Version 20</t>
  </si>
  <si>
    <t>Update DC Wage, Asleep staff wage, sup wage, client prog &amp; support, transportation - standard &amp; adapted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</si>
</sst>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6">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11"/>
      <color rgb="FFFF000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0">
    <xf numFmtId="0" fontId="0" fillId="0" borderId="0" xfId="0"/>
    <xf numFmtId="0" fontId="0" fillId="3" borderId="0" xfId="0" applyFill="1"/>
    <xf numFmtId="0" fontId="0" fillId="3" borderId="0" xfId="0" applyFill="1" applyBorder="1"/>
    <xf numFmtId="0" fontId="3" fillId="3" borderId="0" xfId="0" applyFont="1" applyFill="1"/>
    <xf numFmtId="9" fontId="0" fillId="3" borderId="0" xfId="5" applyFont="1" applyFill="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6" borderId="0" xfId="0" applyFill="1" applyBorder="1" applyAlignment="1" applyProtection="1">
      <alignment horizontal="center"/>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wrapText="1"/>
    </xf>
    <xf numFmtId="0" fontId="1" fillId="3" borderId="0" xfId="0" applyFont="1" applyFill="1"/>
    <xf numFmtId="0" fontId="1" fillId="2" borderId="8" xfId="0" applyFont="1" applyFill="1" applyBorder="1" applyAlignment="1"/>
    <xf numFmtId="0" fontId="9" fillId="8" borderId="15" xfId="0" applyFont="1" applyFill="1" applyBorder="1" applyAlignment="1">
      <alignment vertical="center"/>
    </xf>
    <xf numFmtId="0" fontId="9" fillId="8" borderId="15" xfId="0" applyFont="1" applyFill="1" applyBorder="1" applyAlignment="1">
      <alignment horizontal="left" vertical="center"/>
    </xf>
    <xf numFmtId="0" fontId="10" fillId="6" borderId="15" xfId="0" applyFont="1" applyFill="1" applyBorder="1" applyAlignment="1">
      <alignment vertical="center"/>
    </xf>
    <xf numFmtId="0" fontId="10" fillId="6" borderId="15" xfId="0" quotePrefix="1" applyFont="1" applyFill="1" applyBorder="1" applyAlignment="1">
      <alignment horizontal="left" vertical="center"/>
    </xf>
    <xf numFmtId="0" fontId="10"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5" borderId="0" xfId="0" applyFont="1" applyFill="1"/>
    <xf numFmtId="166" fontId="1" fillId="0" borderId="0" xfId="5" applyNumberFormat="1" applyFont="1" applyFill="1" applyProtection="1"/>
    <xf numFmtId="44" fontId="11"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1" fillId="5" borderId="0" xfId="0" applyFont="1" applyFill="1"/>
    <xf numFmtId="44" fontId="11" fillId="9" borderId="0" xfId="2" applyFont="1" applyFill="1"/>
    <xf numFmtId="0" fontId="12" fillId="3" borderId="0" xfId="0" applyFont="1" applyFill="1"/>
    <xf numFmtId="0" fontId="1" fillId="3" borderId="0" xfId="0" applyFont="1" applyFill="1" applyProtection="1"/>
    <xf numFmtId="0" fontId="0" fillId="0" borderId="0" xfId="0" applyAlignment="1">
      <alignment horizontal="center"/>
    </xf>
    <xf numFmtId="0" fontId="5"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1" fillId="0" borderId="8" xfId="0" applyFont="1" applyFill="1" applyBorder="1" applyAlignment="1" applyProtection="1"/>
    <xf numFmtId="0" fontId="7" fillId="0" borderId="0" xfId="0" applyFont="1" applyAlignment="1">
      <alignment horizontal="center" wrapText="1"/>
    </xf>
    <xf numFmtId="44" fontId="7"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0" borderId="0" xfId="0" applyFont="1" applyAlignment="1">
      <alignment wrapText="1"/>
    </xf>
    <xf numFmtId="0" fontId="1" fillId="0" borderId="0" xfId="0" applyFont="1"/>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0"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5" fillId="3" borderId="0" xfId="0" applyFont="1" applyFill="1" applyProtection="1">
      <protection hidden="1"/>
    </xf>
    <xf numFmtId="0" fontId="0" fillId="3" borderId="0" xfId="0" applyFill="1" applyProtection="1">
      <protection hidden="1"/>
    </xf>
    <xf numFmtId="0" fontId="12"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0" fontId="13"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0" fontId="8" fillId="0" borderId="0" xfId="0" applyFont="1" applyAlignment="1">
      <alignment horizontal="center" wrapText="1"/>
    </xf>
    <xf numFmtId="0" fontId="3" fillId="3" borderId="0" xfId="4" applyFont="1" applyFill="1"/>
    <xf numFmtId="44" fontId="0" fillId="6" borderId="0" xfId="0" applyNumberFormat="1" applyFill="1" applyBorder="1" applyAlignment="1" applyProtection="1"/>
    <xf numFmtId="44" fontId="0" fillId="6" borderId="0" xfId="0" applyNumberFormat="1" applyFill="1" applyBorder="1" applyAlignment="1" applyProtection="1">
      <alignment horizontal="center"/>
    </xf>
    <xf numFmtId="44" fontId="0" fillId="0" borderId="1" xfId="0" applyNumberFormat="1" applyFill="1" applyBorder="1" applyAlignment="1" applyProtection="1"/>
    <xf numFmtId="39" fontId="1" fillId="6" borderId="0" xfId="1" applyNumberFormat="1" applyFont="1" applyFill="1" applyBorder="1" applyAlignment="1" applyProtection="1">
      <alignment horizontal="right" vertical="top"/>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0" borderId="1" xfId="3" applyFont="1" applyFill="1" applyBorder="1"/>
    <xf numFmtId="44" fontId="0" fillId="3" borderId="0" xfId="0" applyNumberFormat="1" applyFill="1"/>
    <xf numFmtId="44" fontId="7" fillId="11" borderId="0" xfId="2" applyFont="1" applyFill="1" applyAlignment="1">
      <alignment horizontal="center" wrapText="1"/>
    </xf>
    <xf numFmtId="10" fontId="1" fillId="0" borderId="1" xfId="5" applyNumberFormat="1" applyFont="1" applyFill="1" applyBorder="1"/>
    <xf numFmtId="44" fontId="1" fillId="0" borderId="1" xfId="2" applyFont="1" applyFill="1" applyBorder="1" applyAlignment="1" applyProtection="1">
      <alignment horizontal="left"/>
    </xf>
    <xf numFmtId="44" fontId="0" fillId="0" borderId="11" xfId="2" applyNumberFormat="1" applyFont="1" applyFill="1" applyBorder="1"/>
    <xf numFmtId="164" fontId="1" fillId="2" borderId="1" xfId="1" applyNumberFormat="1" applyFont="1" applyFill="1" applyBorder="1"/>
    <xf numFmtId="0" fontId="1" fillId="3" borderId="2" xfId="0" applyFont="1" applyFill="1" applyBorder="1"/>
    <xf numFmtId="0" fontId="1" fillId="3" borderId="3" xfId="0" applyFont="1" applyFill="1" applyBorder="1"/>
    <xf numFmtId="0" fontId="1" fillId="3" borderId="0" xfId="0" applyFont="1" applyFill="1" applyBorder="1"/>
    <xf numFmtId="0" fontId="1" fillId="3" borderId="4" xfId="0" applyFont="1" applyFill="1" applyBorder="1"/>
    <xf numFmtId="9" fontId="1" fillId="3" borderId="0" xfId="5" applyFont="1" applyFill="1"/>
    <xf numFmtId="0" fontId="0" fillId="0" borderId="0" xfId="0" applyFont="1" applyAlignment="1">
      <alignment wrapText="1"/>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0" applyNumberFormat="1" applyFont="1" applyFill="1" applyBorder="1" applyAlignment="1" applyProtection="1"/>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3" fillId="6" borderId="0" xfId="0" applyFont="1" applyFill="1" applyBorder="1" applyAlignment="1" applyProtection="1">
      <alignment horizontal="left"/>
    </xf>
    <xf numFmtId="0" fontId="3" fillId="6" borderId="4" xfId="0" applyFont="1" applyFill="1" applyBorder="1" applyAlignment="1" applyProtection="1">
      <alignment horizontal="left"/>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44" fontId="1" fillId="0" borderId="1" xfId="0" applyNumberFormat="1" applyFont="1" applyFill="1" applyBorder="1" applyAlignment="1" applyProtection="1">
      <alignment horizontal="left"/>
    </xf>
    <xf numFmtId="44" fontId="0" fillId="0" borderId="1" xfId="2" applyFont="1" applyFill="1" applyBorder="1" applyAlignment="1" applyProtection="1">
      <alignment horizontal="center"/>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2" borderId="1" xfId="0" applyFill="1" applyBorder="1" applyAlignment="1" applyProtection="1">
      <alignment horizontal="left"/>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44" fontId="1" fillId="0" borderId="1" xfId="2" applyFont="1" applyFill="1" applyBorder="1" applyAlignment="1" applyProtection="1">
      <alignment horizontal="center"/>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14" fillId="6" borderId="0" xfId="0" applyFont="1" applyFill="1" applyBorder="1" applyAlignment="1" applyProtection="1">
      <alignment horizontal="left"/>
    </xf>
    <xf numFmtId="0" fontId="11" fillId="2" borderId="8" xfId="0" applyFont="1" applyFill="1" applyBorder="1" applyAlignment="1" applyProtection="1">
      <alignment horizontal="center" wrapText="1"/>
    </xf>
    <xf numFmtId="0" fontId="11" fillId="2" borderId="5" xfId="0" applyFont="1" applyFill="1" applyBorder="1" applyAlignment="1" applyProtection="1">
      <alignment horizontal="center" wrapText="1"/>
    </xf>
    <xf numFmtId="0" fontId="0" fillId="4" borderId="1" xfId="0" applyFill="1" applyBorder="1" applyAlignment="1" applyProtection="1">
      <alignment horizontal="center"/>
      <protection locked="0"/>
    </xf>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1" fillId="3" borderId="8" xfId="0" applyFont="1" applyFill="1" applyBorder="1" applyAlignment="1" applyProtection="1">
      <alignment horizontal="left"/>
    </xf>
    <xf numFmtId="0" fontId="11" fillId="3" borderId="5" xfId="0" applyFont="1" applyFill="1" applyBorder="1" applyAlignment="1" applyProtection="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10" fontId="1" fillId="0" borderId="6" xfId="5" applyNumberFormat="1" applyFont="1" applyFill="1" applyBorder="1" applyAlignment="1">
      <alignment horizontal="right" vertical="top"/>
    </xf>
    <xf numFmtId="10" fontId="1" fillId="0" borderId="11" xfId="5" applyNumberFormat="1" applyFont="1" applyFill="1" applyBorder="1" applyAlignment="1">
      <alignment horizontal="right" vertical="top"/>
    </xf>
    <xf numFmtId="10" fontId="1" fillId="0" borderId="7" xfId="5" applyNumberFormat="1" applyFont="1" applyFill="1" applyBorder="1" applyAlignment="1">
      <alignment horizontal="right" vertical="top"/>
    </xf>
    <xf numFmtId="0" fontId="1" fillId="2" borderId="8" xfId="0" applyFont="1" applyFill="1" applyBorder="1" applyAlignment="1">
      <alignment horizontal="left"/>
    </xf>
    <xf numFmtId="0" fontId="1" fillId="2" borderId="5" xfId="0" applyFont="1" applyFill="1" applyBorder="1" applyAlignment="1">
      <alignment horizontal="left"/>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0" fillId="2" borderId="8" xfId="0" applyFill="1" applyBorder="1" applyAlignment="1">
      <alignment horizontal="left"/>
    </xf>
    <xf numFmtId="0" fontId="0" fillId="2"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0" fillId="3" borderId="12"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xf numFmtId="44" fontId="1" fillId="2" borderId="1" xfId="2" applyFont="1" applyFill="1" applyBorder="1" applyAlignment="1">
      <alignment horizontal="center"/>
    </xf>
    <xf numFmtId="0" fontId="1" fillId="3" borderId="8" xfId="0" applyNumberFormat="1" applyFont="1" applyFill="1" applyBorder="1" applyAlignment="1">
      <alignment horizontal="left" wrapText="1"/>
    </xf>
    <xf numFmtId="0" fontId="1" fillId="3" borderId="5" xfId="0" applyNumberFormat="1" applyFont="1" applyFill="1" applyBorder="1" applyAlignment="1">
      <alignment horizontal="left" wrapText="1"/>
    </xf>
    <xf numFmtId="44" fontId="1" fillId="0" borderId="1" xfId="2" applyFont="1" applyFill="1" applyBorder="1"/>
    <xf numFmtId="0" fontId="3" fillId="0" borderId="8" xfId="0" applyFont="1" applyFill="1" applyBorder="1" applyAlignment="1"/>
    <xf numFmtId="0" fontId="0" fillId="0" borderId="9" xfId="0" applyFill="1" applyBorder="1" applyAlignment="1"/>
    <xf numFmtId="0" fontId="0" fillId="0" borderId="5" xfId="0" applyFill="1" applyBorder="1" applyAlignment="1"/>
    <xf numFmtId="44" fontId="1" fillId="3" borderId="1" xfId="2" applyFont="1" applyFill="1" applyBorder="1"/>
    <xf numFmtId="10" fontId="1" fillId="3" borderId="1" xfId="0" applyNumberFormat="1" applyFont="1" applyFill="1" applyBorder="1"/>
    <xf numFmtId="44" fontId="1" fillId="0" borderId="1" xfId="2" applyNumberFormat="1" applyFont="1" applyFill="1" applyBorder="1"/>
    <xf numFmtId="44" fontId="1" fillId="0" borderId="1" xfId="2" applyFont="1" applyFill="1" applyBorder="1" applyAlignment="1">
      <alignment vertical="top"/>
    </xf>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2"/>
  <sheetViews>
    <sheetView tabSelected="1" topLeftCell="A3" zoomScale="90" zoomScaleNormal="90" workbookViewId="0">
      <selection activeCell="O16" sqref="O16"/>
    </sheetView>
  </sheetViews>
  <sheetFormatPr defaultColWidth="9.140625" defaultRowHeight="12.6"/>
  <cols>
    <col min="1" max="1" width="30.5703125" style="34" customWidth="1"/>
    <col min="2" max="2" width="10.85546875" style="33" customWidth="1"/>
    <col min="3" max="3" width="21.85546875" style="33" customWidth="1"/>
    <col min="4" max="4" width="21.85546875" style="32" customWidth="1"/>
    <col min="5" max="5" width="22.140625" style="32" customWidth="1"/>
    <col min="6" max="6" width="19.140625" style="33" customWidth="1"/>
    <col min="7" max="7" width="16.28515625" style="96" customWidth="1"/>
    <col min="8" max="8" width="12.85546875" style="34" hidden="1" customWidth="1"/>
    <col min="9" max="9" width="9.5703125" style="34" hidden="1" customWidth="1"/>
    <col min="10" max="11" width="9.140625" style="34" hidden="1" customWidth="1"/>
    <col min="12" max="16384" width="9.140625" style="34"/>
  </cols>
  <sheetData>
    <row r="1" spans="1:10" ht="15" customHeight="1">
      <c r="A1" s="70" t="s">
        <v>0</v>
      </c>
      <c r="B1" s="70"/>
      <c r="C1" s="70"/>
      <c r="D1" s="70"/>
    </row>
    <row r="2" spans="1:10" ht="15" customHeight="1">
      <c r="A2" s="70"/>
      <c r="B2" s="70"/>
      <c r="C2" s="70"/>
      <c r="D2" s="70"/>
    </row>
    <row r="3" spans="1:10" ht="15" customHeight="1">
      <c r="A3" s="139" t="s">
        <v>1</v>
      </c>
      <c r="B3" s="139"/>
      <c r="C3" s="139"/>
      <c r="D3" s="133"/>
    </row>
    <row r="4" spans="1:10" ht="15" customHeight="1">
      <c r="A4" s="205" t="s">
        <v>2</v>
      </c>
      <c r="B4" s="206"/>
      <c r="C4" s="41">
        <v>17.02</v>
      </c>
      <c r="D4" s="34"/>
    </row>
    <row r="5" spans="1:10" ht="15" customHeight="1">
      <c r="A5" s="205" t="s">
        <v>3</v>
      </c>
      <c r="B5" s="206"/>
      <c r="C5" s="149">
        <v>6.7000000000000004E-2</v>
      </c>
      <c r="E5" s="33"/>
      <c r="F5" s="96"/>
      <c r="G5" s="34"/>
    </row>
    <row r="6" spans="1:10" ht="15" customHeight="1">
      <c r="A6" s="207" t="s">
        <v>4</v>
      </c>
      <c r="B6" s="208"/>
      <c r="C6" s="146">
        <f>ROUND(C4*C5+C4,2)</f>
        <v>18.16</v>
      </c>
      <c r="E6" s="33"/>
      <c r="F6" s="96"/>
      <c r="G6" s="34"/>
    </row>
    <row r="7" spans="1:10">
      <c r="A7" s="31"/>
      <c r="B7" s="31"/>
      <c r="C7" s="31"/>
      <c r="D7" s="31"/>
      <c r="E7" s="31"/>
      <c r="F7" s="31"/>
      <c r="G7" s="99"/>
    </row>
    <row r="8" spans="1:10" ht="13.15" customHeight="1">
      <c r="A8" s="38" t="s">
        <v>5</v>
      </c>
      <c r="B8" s="38"/>
      <c r="C8" s="36"/>
      <c r="D8" s="31"/>
      <c r="E8" s="37"/>
      <c r="F8" s="37"/>
      <c r="G8" s="99"/>
      <c r="I8" s="138"/>
      <c r="J8" s="138"/>
    </row>
    <row r="9" spans="1:10" ht="14.45">
      <c r="A9" s="172" t="s">
        <v>6</v>
      </c>
      <c r="B9" s="173"/>
      <c r="C9" s="39" t="s">
        <v>7</v>
      </c>
      <c r="D9" s="40" t="s">
        <v>8</v>
      </c>
      <c r="E9" s="39" t="s">
        <v>9</v>
      </c>
      <c r="F9" s="31"/>
      <c r="G9" s="99"/>
      <c r="I9" s="110">
        <v>0</v>
      </c>
      <c r="J9" s="111">
        <v>0</v>
      </c>
    </row>
    <row r="10" spans="1:10" ht="14.45">
      <c r="A10" s="209" t="s">
        <v>10</v>
      </c>
      <c r="B10" s="210"/>
      <c r="C10" s="41">
        <f>$C$6</f>
        <v>18.16</v>
      </c>
      <c r="D10" s="75">
        <v>0</v>
      </c>
      <c r="E10" s="41">
        <f>D10*C10</f>
        <v>0</v>
      </c>
      <c r="F10" s="31"/>
      <c r="G10" s="99"/>
      <c r="I10" s="97">
        <v>1</v>
      </c>
      <c r="J10" s="148">
        <f>ROUND($C$10-$B$18,2)</f>
        <v>6.75</v>
      </c>
    </row>
    <row r="11" spans="1:10" ht="14.45">
      <c r="A11" s="31"/>
      <c r="B11" s="31"/>
      <c r="C11" s="31"/>
      <c r="D11" s="31"/>
      <c r="E11" s="31"/>
      <c r="F11" s="31"/>
      <c r="G11" s="99"/>
      <c r="I11" s="97">
        <v>2</v>
      </c>
      <c r="J11" s="148">
        <f>ROUND(($C$10-$B$18)/2,2)</f>
        <v>3.38</v>
      </c>
    </row>
    <row r="12" spans="1:10" ht="14.45">
      <c r="A12" s="171" t="s">
        <v>11</v>
      </c>
      <c r="B12" s="171"/>
      <c r="C12" s="171"/>
      <c r="D12" s="171"/>
      <c r="E12" s="171"/>
      <c r="F12" s="34"/>
      <c r="I12" s="97">
        <v>3</v>
      </c>
      <c r="J12" s="148">
        <f>ROUND(($C$10-$B$18)/3,2)</f>
        <v>2.25</v>
      </c>
    </row>
    <row r="13" spans="1:10" ht="38.25" customHeight="1">
      <c r="A13" s="113" t="s">
        <v>12</v>
      </c>
      <c r="B13" s="189" t="s">
        <v>13</v>
      </c>
      <c r="C13" s="189"/>
      <c r="D13" s="202" t="s">
        <v>14</v>
      </c>
      <c r="E13" s="203"/>
      <c r="F13" s="43"/>
      <c r="G13" s="99"/>
      <c r="I13" s="97">
        <v>4</v>
      </c>
      <c r="J13" s="148">
        <f>ROUND(($C$10-$B$18)/4,2)</f>
        <v>1.69</v>
      </c>
    </row>
    <row r="14" spans="1:10" ht="14.45">
      <c r="A14" s="44">
        <f>E10</f>
        <v>0</v>
      </c>
      <c r="B14" s="204">
        <v>1</v>
      </c>
      <c r="C14" s="204"/>
      <c r="D14" s="168">
        <f>A14/B14</f>
        <v>0</v>
      </c>
      <c r="E14" s="169"/>
      <c r="F14" s="43"/>
      <c r="G14" s="99"/>
      <c r="I14" s="97">
        <v>5</v>
      </c>
      <c r="J14" s="148">
        <f>ROUND(($C$10-$B$18)/5,2)</f>
        <v>1.35</v>
      </c>
    </row>
    <row r="15" spans="1:10" ht="14.45">
      <c r="A15" s="31"/>
      <c r="B15" s="31"/>
      <c r="C15" s="31"/>
      <c r="D15" s="31"/>
      <c r="E15" s="31"/>
      <c r="F15" s="31"/>
      <c r="G15" s="99"/>
      <c r="I15" s="97">
        <v>6</v>
      </c>
      <c r="J15" s="148">
        <f>ROUND(($C$10-$B$18)/6,2)</f>
        <v>1.1299999999999999</v>
      </c>
    </row>
    <row r="16" spans="1:10" ht="12.95">
      <c r="A16" s="38" t="s">
        <v>15</v>
      </c>
      <c r="B16" s="38"/>
      <c r="C16" s="36"/>
      <c r="D16" s="31"/>
      <c r="E16" s="37"/>
      <c r="F16" s="37"/>
      <c r="G16" s="99"/>
    </row>
    <row r="17" spans="1:10" ht="26.25" customHeight="1">
      <c r="A17" s="105" t="s">
        <v>6</v>
      </c>
      <c r="B17" s="106" t="s">
        <v>16</v>
      </c>
      <c r="C17" s="107" t="s">
        <v>17</v>
      </c>
      <c r="D17" s="202" t="s">
        <v>18</v>
      </c>
      <c r="E17" s="203"/>
      <c r="F17" s="31"/>
      <c r="G17" s="99"/>
    </row>
    <row r="18" spans="1:10">
      <c r="A18" s="109" t="s">
        <v>19</v>
      </c>
      <c r="B18" s="163">
        <v>11.41</v>
      </c>
      <c r="C18" s="104"/>
      <c r="D18" s="168">
        <f>(B18*C18)/B14</f>
        <v>0</v>
      </c>
      <c r="E18" s="169"/>
      <c r="F18" s="31"/>
      <c r="G18" s="99"/>
    </row>
    <row r="19" spans="1:10">
      <c r="A19" s="31"/>
      <c r="B19" s="31"/>
      <c r="C19" s="31"/>
      <c r="D19" s="31"/>
      <c r="E19" s="31"/>
      <c r="F19" s="31"/>
      <c r="G19" s="99"/>
    </row>
    <row r="20" spans="1:10" s="100" customFormat="1" ht="12.95">
      <c r="A20" s="201" t="s">
        <v>20</v>
      </c>
      <c r="B20" s="201"/>
      <c r="C20" s="201"/>
      <c r="D20" s="201"/>
      <c r="E20" s="201"/>
      <c r="F20" s="201"/>
      <c r="G20" s="201"/>
      <c r="I20" s="96" t="s">
        <v>21</v>
      </c>
      <c r="J20" s="34"/>
    </row>
    <row r="21" spans="1:10" s="100" customFormat="1" ht="27" customHeight="1">
      <c r="A21" s="108" t="s">
        <v>22</v>
      </c>
      <c r="B21" s="199" t="s">
        <v>23</v>
      </c>
      <c r="C21" s="200"/>
      <c r="D21" s="199" t="s">
        <v>24</v>
      </c>
      <c r="E21" s="200"/>
      <c r="F21" s="43"/>
      <c r="G21" s="99"/>
      <c r="I21" s="99" t="s">
        <v>25</v>
      </c>
    </row>
    <row r="22" spans="1:10" s="100" customFormat="1">
      <c r="A22" s="116" t="s">
        <v>25</v>
      </c>
      <c r="B22" s="180">
        <v>1</v>
      </c>
      <c r="C22" s="181"/>
      <c r="D22" s="168">
        <f>IF(A22="YES",(C18*(VLOOKUP(B22,I10:J15,2,FALSE))),0)</f>
        <v>0</v>
      </c>
      <c r="E22" s="169"/>
      <c r="F22" s="43"/>
      <c r="G22" s="99"/>
    </row>
    <row r="23" spans="1:10" s="100" customFormat="1">
      <c r="A23" s="101"/>
      <c r="B23" s="102"/>
      <c r="C23" s="102"/>
      <c r="D23" s="103"/>
      <c r="E23" s="103"/>
      <c r="F23" s="43"/>
      <c r="G23" s="99"/>
    </row>
    <row r="24" spans="1:10" ht="12.95">
      <c r="A24" s="171" t="s">
        <v>26</v>
      </c>
      <c r="B24" s="171"/>
      <c r="C24" s="171"/>
      <c r="D24" s="171"/>
      <c r="E24" s="31"/>
      <c r="F24" s="34"/>
      <c r="I24" s="100"/>
      <c r="J24" s="100"/>
    </row>
    <row r="25" spans="1:10">
      <c r="A25" s="45" t="s">
        <v>6</v>
      </c>
      <c r="B25" s="188" t="s">
        <v>7</v>
      </c>
      <c r="C25" s="189"/>
      <c r="D25" s="46" t="s">
        <v>8</v>
      </c>
      <c r="E25" s="46" t="s">
        <v>9</v>
      </c>
      <c r="F25" s="43"/>
    </row>
    <row r="26" spans="1:10">
      <c r="A26" s="47" t="s">
        <v>27</v>
      </c>
      <c r="B26" s="165">
        <f>$C$6</f>
        <v>18.16</v>
      </c>
      <c r="C26" s="165"/>
      <c r="D26" s="75">
        <v>0</v>
      </c>
      <c r="E26" s="142">
        <f>B26*D26</f>
        <v>0</v>
      </c>
      <c r="F26" s="43"/>
    </row>
    <row r="27" spans="1:10">
      <c r="A27" s="49"/>
      <c r="B27" s="141"/>
      <c r="C27" s="141"/>
      <c r="D27" s="137"/>
      <c r="E27" s="140"/>
      <c r="F27" s="43"/>
    </row>
    <row r="28" spans="1:10" ht="12.95">
      <c r="A28" s="171" t="s">
        <v>28</v>
      </c>
      <c r="B28" s="171"/>
      <c r="C28" s="171"/>
      <c r="D28" s="171"/>
      <c r="E28" s="31"/>
      <c r="F28" s="43"/>
    </row>
    <row r="29" spans="1:10">
      <c r="A29" s="174" t="s">
        <v>29</v>
      </c>
      <c r="B29" s="174"/>
      <c r="C29" s="46" t="s">
        <v>13</v>
      </c>
      <c r="D29" s="175" t="s">
        <v>30</v>
      </c>
      <c r="E29" s="175"/>
      <c r="F29" s="31"/>
    </row>
    <row r="30" spans="1:10">
      <c r="A30" s="176">
        <f>E26</f>
        <v>0</v>
      </c>
      <c r="B30" s="176"/>
      <c r="C30" s="144">
        <f>B14</f>
        <v>1</v>
      </c>
      <c r="D30" s="177">
        <f>A30/C30</f>
        <v>0</v>
      </c>
      <c r="E30" s="177"/>
      <c r="F30" s="34"/>
    </row>
    <row r="31" spans="1:10">
      <c r="A31" s="49"/>
      <c r="B31" s="141"/>
      <c r="C31" s="141"/>
      <c r="D31" s="143"/>
      <c r="E31" s="140"/>
      <c r="F31" s="43"/>
    </row>
    <row r="32" spans="1:10" ht="12.95">
      <c r="A32" s="171" t="s">
        <v>31</v>
      </c>
      <c r="B32" s="171"/>
      <c r="C32" s="171"/>
      <c r="D32" s="171"/>
      <c r="E32" s="31"/>
      <c r="F32" s="37"/>
    </row>
    <row r="33" spans="1:15" ht="12.95">
      <c r="A33" s="182" t="s">
        <v>6</v>
      </c>
      <c r="B33" s="182"/>
      <c r="C33" s="39" t="s">
        <v>7</v>
      </c>
      <c r="D33" s="40" t="s">
        <v>8</v>
      </c>
      <c r="E33" s="39" t="s">
        <v>9</v>
      </c>
      <c r="F33" s="31"/>
      <c r="G33" s="38"/>
    </row>
    <row r="34" spans="1:15">
      <c r="A34" s="166" t="s">
        <v>32</v>
      </c>
      <c r="B34" s="167"/>
      <c r="C34" s="41">
        <f>$C$6</f>
        <v>18.16</v>
      </c>
      <c r="D34" s="75">
        <v>0</v>
      </c>
      <c r="E34" s="41">
        <f>D34*C34</f>
        <v>0</v>
      </c>
      <c r="F34" s="31"/>
    </row>
    <row r="35" spans="1:15">
      <c r="A35" s="134"/>
      <c r="B35" s="135"/>
      <c r="C35" s="136"/>
      <c r="D35" s="137"/>
      <c r="E35" s="136"/>
      <c r="F35" s="31"/>
    </row>
    <row r="36" spans="1:15" ht="12.95">
      <c r="A36" s="170" t="s">
        <v>33</v>
      </c>
      <c r="B36" s="170"/>
      <c r="C36" s="170"/>
      <c r="D36" s="170"/>
      <c r="E36" s="31"/>
      <c r="F36" s="31"/>
      <c r="G36" s="38"/>
    </row>
    <row r="37" spans="1:15">
      <c r="A37" s="182" t="s">
        <v>6</v>
      </c>
      <c r="B37" s="182"/>
      <c r="C37" s="39" t="s">
        <v>16</v>
      </c>
      <c r="D37" s="40" t="s">
        <v>8</v>
      </c>
      <c r="E37" s="39" t="s">
        <v>9</v>
      </c>
      <c r="F37" s="31"/>
    </row>
    <row r="38" spans="1:15">
      <c r="A38" s="183" t="s">
        <v>34</v>
      </c>
      <c r="B38" s="184"/>
      <c r="C38" s="163">
        <v>11.41</v>
      </c>
      <c r="D38" s="75">
        <v>0</v>
      </c>
      <c r="E38" s="41">
        <f>D38*C38</f>
        <v>0</v>
      </c>
      <c r="F38" s="31"/>
    </row>
    <row r="39" spans="1:15">
      <c r="A39" s="31"/>
      <c r="B39" s="31"/>
      <c r="C39" s="31"/>
      <c r="D39" s="31"/>
      <c r="E39" s="31"/>
      <c r="F39" s="31"/>
    </row>
    <row r="40" spans="1:15" ht="12.95">
      <c r="A40" s="171" t="s">
        <v>35</v>
      </c>
      <c r="B40" s="171"/>
      <c r="C40" s="171"/>
      <c r="D40" s="171"/>
      <c r="E40" s="31"/>
      <c r="F40" s="31"/>
    </row>
    <row r="41" spans="1:15">
      <c r="A41" s="172" t="s">
        <v>6</v>
      </c>
      <c r="B41" s="173"/>
      <c r="C41" s="39" t="s">
        <v>7</v>
      </c>
      <c r="D41" s="40" t="s">
        <v>8</v>
      </c>
      <c r="E41" s="39" t="s">
        <v>9</v>
      </c>
      <c r="F41" s="31"/>
    </row>
    <row r="42" spans="1:15" ht="12.75" customHeight="1">
      <c r="A42" s="178" t="s">
        <v>36</v>
      </c>
      <c r="B42" s="179"/>
      <c r="C42" s="41">
        <f>$C$6</f>
        <v>18.16</v>
      </c>
      <c r="D42" s="75">
        <v>0</v>
      </c>
      <c r="E42" s="41">
        <f>C42*D42</f>
        <v>0</v>
      </c>
      <c r="F42" s="98"/>
      <c r="G42" s="164"/>
      <c r="K42" s="100"/>
      <c r="L42" s="100"/>
      <c r="M42" s="100"/>
      <c r="N42" s="100"/>
      <c r="O42" s="100"/>
    </row>
    <row r="43" spans="1:15">
      <c r="A43" s="31"/>
      <c r="B43" s="31"/>
      <c r="C43" s="31"/>
      <c r="D43" s="31"/>
      <c r="E43" s="31"/>
      <c r="F43" s="98"/>
      <c r="G43" s="164"/>
      <c r="I43" s="99"/>
      <c r="J43" s="100"/>
      <c r="K43" s="100"/>
      <c r="L43" s="100"/>
      <c r="M43" s="100"/>
      <c r="N43" s="100"/>
      <c r="O43" s="100"/>
    </row>
    <row r="44" spans="1:15" ht="12.95">
      <c r="A44" s="38" t="s">
        <v>37</v>
      </c>
      <c r="B44" s="31"/>
      <c r="C44" s="31"/>
      <c r="D44" s="31"/>
      <c r="E44" s="31"/>
      <c r="F44" s="98"/>
      <c r="G44" s="164"/>
      <c r="I44" s="100"/>
      <c r="J44" s="100"/>
    </row>
    <row r="45" spans="1:15">
      <c r="A45" s="52" t="s">
        <v>38</v>
      </c>
      <c r="B45" s="42" t="s">
        <v>16</v>
      </c>
      <c r="C45" s="42" t="s">
        <v>39</v>
      </c>
      <c r="D45" s="53" t="s">
        <v>8</v>
      </c>
      <c r="E45" s="54" t="s">
        <v>40</v>
      </c>
      <c r="F45" s="98"/>
      <c r="G45" s="164"/>
    </row>
    <row r="46" spans="1:15">
      <c r="A46" s="55" t="s">
        <v>38</v>
      </c>
      <c r="B46" s="150">
        <v>23.64</v>
      </c>
      <c r="C46" s="56">
        <v>0.11</v>
      </c>
      <c r="D46" s="145">
        <f>((D10/B14)+(C18/B14)+(D26/C30)+D34+D38+D42)*C46</f>
        <v>0</v>
      </c>
      <c r="E46" s="64">
        <f>D46*B46</f>
        <v>0</v>
      </c>
      <c r="F46" s="31"/>
    </row>
    <row r="47" spans="1:15">
      <c r="A47" s="31"/>
      <c r="B47" s="31"/>
      <c r="C47" s="31"/>
      <c r="D47" s="31"/>
      <c r="E47" s="31"/>
      <c r="F47" s="31"/>
      <c r="G47" s="99"/>
      <c r="H47" s="100"/>
    </row>
    <row r="48" spans="1:15" ht="12.95">
      <c r="A48" s="57" t="s">
        <v>41</v>
      </c>
      <c r="B48" s="57"/>
      <c r="C48" s="57"/>
      <c r="D48" s="57"/>
      <c r="E48" s="50"/>
      <c r="F48" s="31"/>
      <c r="G48" s="99"/>
      <c r="H48" s="100"/>
    </row>
    <row r="49" spans="1:8" ht="24.95">
      <c r="A49" s="58" t="s">
        <v>42</v>
      </c>
      <c r="B49" s="39" t="s">
        <v>43</v>
      </c>
      <c r="C49" s="59" t="s">
        <v>44</v>
      </c>
      <c r="D49" s="59" t="s">
        <v>45</v>
      </c>
      <c r="E49" s="59" t="s">
        <v>46</v>
      </c>
      <c r="F49" s="31"/>
      <c r="G49" s="99"/>
      <c r="H49" s="100"/>
    </row>
    <row r="50" spans="1:8">
      <c r="A50" s="60" t="s">
        <v>47</v>
      </c>
      <c r="B50" s="25">
        <v>0</v>
      </c>
      <c r="C50" s="117">
        <v>0</v>
      </c>
      <c r="D50" s="197">
        <f>IF(C50&gt;0,D34+D38+((D10/B14)+(C18/B14)),0)</f>
        <v>0</v>
      </c>
      <c r="E50" s="186">
        <f>D50*C50</f>
        <v>0</v>
      </c>
      <c r="F50" s="34"/>
    </row>
    <row r="51" spans="1:8">
      <c r="A51" s="60" t="s">
        <v>48</v>
      </c>
      <c r="B51" s="25">
        <v>2.5</v>
      </c>
      <c r="C51" s="118"/>
      <c r="D51" s="198"/>
      <c r="E51" s="187"/>
      <c r="F51" s="43"/>
    </row>
    <row r="52" spans="1:8">
      <c r="A52" s="31"/>
      <c r="B52" s="31"/>
      <c r="C52" s="31"/>
      <c r="D52" s="31"/>
      <c r="E52" s="31"/>
      <c r="F52" s="43"/>
    </row>
    <row r="53" spans="1:8" ht="12.95">
      <c r="A53" s="171" t="s">
        <v>49</v>
      </c>
      <c r="B53" s="171"/>
      <c r="C53" s="171"/>
      <c r="D53" s="171"/>
      <c r="E53" s="31"/>
      <c r="F53" s="43"/>
    </row>
    <row r="54" spans="1:8">
      <c r="A54" s="45" t="s">
        <v>6</v>
      </c>
      <c r="B54" s="188" t="s">
        <v>16</v>
      </c>
      <c r="C54" s="189"/>
      <c r="D54" s="46" t="s">
        <v>8</v>
      </c>
      <c r="E54" s="46" t="s">
        <v>9</v>
      </c>
      <c r="F54" s="34"/>
    </row>
    <row r="55" spans="1:8">
      <c r="A55" s="47" t="s">
        <v>50</v>
      </c>
      <c r="B55" s="177">
        <v>41.07</v>
      </c>
      <c r="C55" s="177"/>
      <c r="D55" s="75">
        <v>0</v>
      </c>
      <c r="E55" s="48">
        <f>B55*D55</f>
        <v>0</v>
      </c>
      <c r="F55" s="43"/>
    </row>
    <row r="56" spans="1:8">
      <c r="A56" s="49"/>
      <c r="B56" s="30"/>
      <c r="C56" s="30"/>
      <c r="D56" s="50"/>
      <c r="E56" s="51"/>
      <c r="F56" s="43"/>
    </row>
    <row r="57" spans="1:8" ht="12.95">
      <c r="A57" s="171" t="s">
        <v>51</v>
      </c>
      <c r="B57" s="171"/>
      <c r="C57" s="171"/>
      <c r="D57" s="171"/>
      <c r="E57" s="31"/>
      <c r="F57" s="43"/>
    </row>
    <row r="58" spans="1:8">
      <c r="A58" s="45" t="s">
        <v>6</v>
      </c>
      <c r="B58" s="188" t="s">
        <v>16</v>
      </c>
      <c r="C58" s="189"/>
      <c r="D58" s="46" t="s">
        <v>8</v>
      </c>
      <c r="E58" s="46" t="s">
        <v>9</v>
      </c>
      <c r="F58" s="34"/>
    </row>
    <row r="59" spans="1:8">
      <c r="A59" s="47" t="s">
        <v>52</v>
      </c>
      <c r="B59" s="196">
        <v>24.9</v>
      </c>
      <c r="C59" s="177"/>
      <c r="D59" s="75">
        <v>0</v>
      </c>
      <c r="E59" s="48">
        <f>B59*D59</f>
        <v>0</v>
      </c>
    </row>
    <row r="60" spans="1:8">
      <c r="A60" s="49"/>
      <c r="B60" s="30"/>
      <c r="C60" s="30"/>
      <c r="D60" s="50"/>
      <c r="E60" s="51"/>
    </row>
    <row r="61" spans="1:8" ht="12.95">
      <c r="A61" s="61" t="s">
        <v>53</v>
      </c>
      <c r="B61" s="61"/>
      <c r="C61" s="61"/>
      <c r="D61" s="61"/>
      <c r="E61" s="34"/>
    </row>
    <row r="62" spans="1:8">
      <c r="A62" s="182" t="s">
        <v>54</v>
      </c>
      <c r="B62" s="182"/>
      <c r="C62" s="182"/>
      <c r="D62" s="182"/>
      <c r="E62" s="182"/>
      <c r="F62" s="62" t="s">
        <v>55</v>
      </c>
    </row>
    <row r="63" spans="1:8">
      <c r="A63" s="193" t="s">
        <v>56</v>
      </c>
      <c r="B63" s="194"/>
      <c r="C63" s="194"/>
      <c r="D63" s="195"/>
      <c r="E63" s="63">
        <v>8.7099999999999997E-2</v>
      </c>
      <c r="F63" s="64">
        <f>E63*(D14+D18+D22+E34+E38+E46+E50+E55+E59)</f>
        <v>0</v>
      </c>
    </row>
    <row r="64" spans="1:8">
      <c r="A64" s="190" t="s">
        <v>57</v>
      </c>
      <c r="B64" s="191"/>
      <c r="C64" s="191"/>
      <c r="D64" s="191"/>
      <c r="E64" s="192"/>
      <c r="F64" s="64">
        <f>SUM(F63:F63)</f>
        <v>0</v>
      </c>
    </row>
    <row r="65" spans="1:6">
      <c r="A65" s="65"/>
      <c r="B65" s="66"/>
      <c r="C65" s="66"/>
      <c r="D65" s="66"/>
      <c r="E65" s="66"/>
      <c r="F65" s="31"/>
    </row>
    <row r="66" spans="1:6" ht="12.95">
      <c r="A66" s="35" t="s">
        <v>58</v>
      </c>
      <c r="B66" s="35"/>
      <c r="C66" s="31"/>
      <c r="D66" s="67"/>
      <c r="E66" s="67"/>
      <c r="F66" s="31"/>
    </row>
    <row r="67" spans="1:6" ht="12.95">
      <c r="A67" s="38" t="s">
        <v>59</v>
      </c>
      <c r="B67" s="34"/>
      <c r="C67" s="34"/>
      <c r="D67" s="31"/>
      <c r="E67" s="67"/>
      <c r="F67" s="68"/>
    </row>
    <row r="68" spans="1:6" ht="12.95">
      <c r="A68" s="185" t="s">
        <v>60</v>
      </c>
      <c r="B68" s="185"/>
      <c r="C68" s="112">
        <f>E34+E38+D22+E46+D14+E50+E55+E59+F64+D18</f>
        <v>0</v>
      </c>
      <c r="D68" s="31"/>
      <c r="E68" s="31"/>
      <c r="F68" s="31"/>
    </row>
    <row r="69" spans="1:6">
      <c r="A69" s="31"/>
      <c r="B69" s="31"/>
      <c r="C69" s="31"/>
      <c r="D69" s="31"/>
      <c r="E69" s="31"/>
      <c r="F69" s="68"/>
    </row>
    <row r="70" spans="1:6" ht="12.95">
      <c r="A70" s="38" t="s">
        <v>61</v>
      </c>
      <c r="B70" s="34"/>
      <c r="C70" s="34"/>
      <c r="D70" s="31"/>
      <c r="E70" s="67"/>
    </row>
    <row r="71" spans="1:6" ht="12.95">
      <c r="A71" s="185" t="s">
        <v>29</v>
      </c>
      <c r="B71" s="185"/>
      <c r="C71" s="69">
        <f>D30+E42</f>
        <v>0</v>
      </c>
      <c r="D71" s="31"/>
      <c r="E71" s="31"/>
    </row>
    <row r="72" spans="1:6" ht="12.95">
      <c r="A72" s="38"/>
      <c r="B72" s="34"/>
      <c r="C72" s="34"/>
      <c r="D72" s="31"/>
      <c r="E72" s="67"/>
    </row>
  </sheetData>
  <sheetProtection sheet="1" objects="1" scenarios="1"/>
  <dataConsolidate/>
  <mergeCells count="48">
    <mergeCell ref="A4:B4"/>
    <mergeCell ref="A5:B5"/>
    <mergeCell ref="A6:B6"/>
    <mergeCell ref="D13:E13"/>
    <mergeCell ref="B25:C25"/>
    <mergeCell ref="A9:B9"/>
    <mergeCell ref="A10:B10"/>
    <mergeCell ref="A33:B33"/>
    <mergeCell ref="A28:D28"/>
    <mergeCell ref="D21:E21"/>
    <mergeCell ref="A12:E12"/>
    <mergeCell ref="A20:G20"/>
    <mergeCell ref="B21:C21"/>
    <mergeCell ref="B13:C13"/>
    <mergeCell ref="D14:E14"/>
    <mergeCell ref="A24:D24"/>
    <mergeCell ref="D17:E17"/>
    <mergeCell ref="D18:E18"/>
    <mergeCell ref="B14:C14"/>
    <mergeCell ref="A71:B71"/>
    <mergeCell ref="E50:E51"/>
    <mergeCell ref="A53:D53"/>
    <mergeCell ref="B54:C54"/>
    <mergeCell ref="B55:C55"/>
    <mergeCell ref="A68:B68"/>
    <mergeCell ref="A64:E64"/>
    <mergeCell ref="A63:D63"/>
    <mergeCell ref="A62:E62"/>
    <mergeCell ref="B58:C58"/>
    <mergeCell ref="B59:C59"/>
    <mergeCell ref="D50:D51"/>
    <mergeCell ref="A57:D57"/>
    <mergeCell ref="G42:G45"/>
    <mergeCell ref="B26:C26"/>
    <mergeCell ref="A34:B34"/>
    <mergeCell ref="D22:E22"/>
    <mergeCell ref="A36:D36"/>
    <mergeCell ref="A40:D40"/>
    <mergeCell ref="A41:B41"/>
    <mergeCell ref="A29:B29"/>
    <mergeCell ref="D29:E29"/>
    <mergeCell ref="A30:B30"/>
    <mergeCell ref="D30:E30"/>
    <mergeCell ref="A42:B42"/>
    <mergeCell ref="B22:C22"/>
    <mergeCell ref="A37:B37"/>
    <mergeCell ref="A38:B38"/>
    <mergeCell ref="A32:D32"/>
  </mergeCells>
  <phoneticPr fontId="2" type="noConversion"/>
  <dataValidations xWindow="730" yWindow="222" count="49">
    <dataValidation allowBlank="1" showInputMessage="1" showErrorMessage="1" prompt="Use CTRL plus arrow keys to move to edge of tables.  Press TAB to move to cells where data can be entered." sqref="A1:D2"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5" xr:uid="{00000000-0002-0000-0000-00000A000000}"/>
    <dataValidation allowBlank="1" showInputMessage="1" showErrorMessage="1" prompt="Enter Individual Asleep Staff Hours per Day" sqref="D38" xr:uid="{00000000-0002-0000-0000-00000B000000}"/>
    <dataValidation allowBlank="1" showInputMessage="1" showErrorMessage="1" prompt="Individual Asleep Staff Amount per Day formula is Hours per Day times Wage" sqref="E38"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Supervision Percent" sqref="C46" xr:uid="{00000000-0002-0000-0000-000017000000}"/>
    <dataValidation allowBlank="1" showInputMessage="1" showErrorMessage="1" prompt="Total Dollars for Relief Staffing formula is equal to Relief Staff Dollar Amount" sqref="F64" xr:uid="{00000000-0002-0000-0000-000018000000}"/>
    <dataValidation allowBlank="1" showInputMessage="1" showErrorMessage="1" prompt="RN Wage" sqref="B55:C56 B60:C60" xr:uid="{00000000-0002-0000-0000-000019000000}"/>
    <dataValidation allowBlank="1" showInputMessage="1" showErrorMessage="1" prompt="Enter RN Hours per Day" sqref="D55:D56 D60" xr:uid="{00000000-0002-0000-0000-00001A000000}"/>
    <dataValidation allowBlank="1" showInputMessage="1" showErrorMessage="1" prompt="RN Amount per Day formula is Wage times Hours per Day" sqref="E55:E56 E60" xr:uid="{00000000-0002-0000-0000-00001B000000}"/>
    <dataValidation allowBlank="1" showInputMessage="1" showErrorMessage="1" prompt="LPN Wage" sqref="B59:C59" xr:uid="{00000000-0002-0000-0000-00001C000000}"/>
    <dataValidation allowBlank="1" showInputMessage="1" showErrorMessage="1" prompt="Enter LPN Hours per Day" sqref="D59" xr:uid="{00000000-0002-0000-0000-00001D000000}"/>
    <dataValidation allowBlank="1" showInputMessage="1" showErrorMessage="1" prompt="LPN Amount per Day formula is Wage times Hours per Day" sqref="E59" xr:uid="{00000000-0002-0000-0000-00001E000000}"/>
    <dataValidation allowBlank="1" showInputMessage="1" showErrorMessage="1" prompt="Total Remote Shared Staff Amount formula equals Individual Amount for Remote Shared Staffing plus Individual Remote Staff Amount per Day" sqref="C71" xr:uid="{00000000-0002-0000-0000-00001F000000}"/>
    <dataValidation type="list" allowBlank="1" showInputMessage="1" showErrorMessage="1" prompt="Enter Add-on Choice" sqref="C50" xr:uid="{00000000-0002-0000-0000-000020000000}">
      <formula1>$B$50:$B$51</formula1>
    </dataValidation>
    <dataValidation allowBlank="1" showInputMessage="1" showErrorMessage="1" prompt="Total Individual Amount for Shared Staffing formula is Total On-site Shared Staffing Amount divided by Number of Residents - On-site" sqref="D23:E23" xr:uid="{00000000-0002-0000-0000-000021000000}"/>
    <dataValidation allowBlank="1" showInputMessage="1" showErrorMessage="1" prompt="Deaf or Hard of Hearing Add-on Amount" sqref="B51" xr:uid="{00000000-0002-0000-0000-000022000000}"/>
    <dataValidation allowBlank="1" showInputMessage="1" showErrorMessage="1" prompt="Individual Remote Staff Wage" sqref="C42" xr:uid="{00000000-0002-0000-0000-000023000000}"/>
    <dataValidation allowBlank="1" showInputMessage="1" showErrorMessage="1" prompt="Enter Individual Remote Staff Hours per Day" sqref="D42" xr:uid="{00000000-0002-0000-0000-000024000000}"/>
    <dataValidation allowBlank="1" showInputMessage="1" showErrorMessage="1" prompt="Individual Remote Staff Amount per Day formula is Individual Wage times Individual Remote Staff Hours per Day" sqref="E42" xr:uid="{00000000-0002-0000-0000-000025000000}"/>
    <dataValidation type="list" allowBlank="1" showInputMessage="1" showErrorMessage="1" prompt="Enter Number of Residents - On-site" sqref="B14:C14" xr:uid="{00000000-0002-0000-0000-000026000000}">
      <formula1>$I$10:$I$15</formula1>
    </dataValidation>
    <dataValidation type="list" allowBlank="1" showInputMessage="1" showErrorMessage="1" prompt="Select a response of Yes if the recipient requires SHARED AWAKE OVERNIGHT staff." sqref="A22" xr:uid="{00000000-0002-0000-0000-000027000000}">
      <formula1>$I$20:$I$21</formula1>
    </dataValidation>
    <dataValidation type="list" allowBlank="1" showInputMessage="1" showErrorMessage="1" prompt="Enter the number of residents requiring Shared Awake overnight staff." sqref="B22:C22" xr:uid="{00000000-0002-0000-0000-000028000000}">
      <formula1>$I$10:$I$15</formula1>
    </dataValidation>
    <dataValidation allowBlank="1" showInputMessage="1" showErrorMessage="1" prompt="Total Individual Amount for Shared Staffing formula is Total Daytime Shared Staffing Amount divided by Number of Residents" sqref="D14:E14" xr:uid="{00000000-0002-0000-0000-000029000000}"/>
    <dataValidation allowBlank="1" showInputMessage="1" showErrorMessage="1" prompt="Total Individual Amount for Shared Staffing formula is Total Overnight Shared Staffing Amount divided by Number of Residents" sqref="D18:E18" xr:uid="{00000000-0002-0000-0000-00002A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2B000000}"/>
    <dataValidation allowBlank="1" showInputMessage="1" showErrorMessage="1" prompt="Remote Shared Staff Wage" sqref="B26:C27 B31:C31" xr:uid="{00000000-0002-0000-0000-00002C000000}"/>
    <dataValidation allowBlank="1" showInputMessage="1" showErrorMessage="1" prompt="Enter Remote Shared Staff Hours per Day" sqref="D26:D27 D31" xr:uid="{00000000-0002-0000-0000-00002D000000}"/>
    <dataValidation allowBlank="1" showInputMessage="1" showErrorMessage="1" prompt="Remote Shared Staff Amount per Day formula is Wage times Hours per Day" sqref="E26:E27 E31" xr:uid="{00000000-0002-0000-0000-00002E000000}"/>
    <dataValidation allowBlank="1" showInputMessage="1" showErrorMessage="1" prompt="Individual Amount for Remote Shared Staff formula is Total Remote Shared Staff Amount divided by Number of Residents-Remote" sqref="D30:E30" xr:uid="{00000000-0002-0000-0000-00002F000000}"/>
    <dataValidation allowBlank="1" showInputMessage="1" showErrorMessage="1" prompt="Number of Residents - Remote formula is equal to Number of Residents - Direct" sqref="C30" xr:uid="{00000000-0002-0000-0000-000030000000}"/>
    <dataValidation allowBlank="1" showInputMessage="1" showErrorMessage="1" prompt="Total Remote Shared Staff Amount formula is equal to Remote Shared Staff Amount per Day" sqref="A30:B30" xr:uid="{00000000-0002-0000-0000-000031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
  <sheetViews>
    <sheetView zoomScale="125" workbookViewId="0">
      <selection activeCell="C5" sqref="C5:C7"/>
    </sheetView>
  </sheetViews>
  <sheetFormatPr defaultColWidth="9.140625" defaultRowHeight="12.6"/>
  <cols>
    <col min="1" max="1" width="3" style="78" customWidth="1"/>
    <col min="2" max="2" width="40.7109375" style="78" customWidth="1"/>
    <col min="3" max="3" width="14" style="78" customWidth="1"/>
    <col min="4" max="4" width="14" style="157" customWidth="1"/>
    <col min="5" max="5" width="15.42578125" style="78" customWidth="1"/>
    <col min="6" max="6" width="18.140625" style="78" bestFit="1" customWidth="1"/>
    <col min="7" max="7" width="9.140625" style="78" customWidth="1"/>
    <col min="8" max="16384" width="9.140625" style="78"/>
  </cols>
  <sheetData>
    <row r="1" spans="1:4" ht="15.6">
      <c r="A1" s="71" t="s">
        <v>62</v>
      </c>
      <c r="B1" s="71"/>
      <c r="C1" s="71"/>
      <c r="D1" s="71"/>
    </row>
    <row r="2" spans="1:4">
      <c r="D2" s="78"/>
    </row>
    <row r="3" spans="1:4" ht="12.95">
      <c r="A3" s="72" t="s">
        <v>63</v>
      </c>
      <c r="B3" s="72"/>
      <c r="C3" s="72"/>
      <c r="D3" s="72"/>
    </row>
    <row r="4" spans="1:4">
      <c r="A4" s="217" t="s">
        <v>64</v>
      </c>
      <c r="B4" s="218"/>
      <c r="C4" s="152" t="s">
        <v>65</v>
      </c>
      <c r="D4" s="78"/>
    </row>
    <row r="5" spans="1:4">
      <c r="A5" s="212" t="s">
        <v>66</v>
      </c>
      <c r="B5" s="213"/>
      <c r="C5" s="214">
        <v>0.11559999999999999</v>
      </c>
      <c r="D5" s="78"/>
    </row>
    <row r="6" spans="1:4">
      <c r="A6" s="153"/>
      <c r="B6" s="219" t="s">
        <v>67</v>
      </c>
      <c r="C6" s="215"/>
      <c r="D6" s="78"/>
    </row>
    <row r="7" spans="1:4">
      <c r="A7" s="154"/>
      <c r="B7" s="220"/>
      <c r="C7" s="216"/>
      <c r="D7" s="78"/>
    </row>
    <row r="8" spans="1:4">
      <c r="A8" s="212" t="s">
        <v>68</v>
      </c>
      <c r="B8" s="213"/>
      <c r="C8" s="214">
        <v>0.12039999999999999</v>
      </c>
      <c r="D8" s="78"/>
    </row>
    <row r="9" spans="1:4">
      <c r="A9" s="153"/>
      <c r="B9" s="155" t="s">
        <v>69</v>
      </c>
      <c r="C9" s="215"/>
      <c r="D9" s="78"/>
    </row>
    <row r="10" spans="1:4">
      <c r="A10" s="153"/>
      <c r="B10" s="155" t="s">
        <v>70</v>
      </c>
      <c r="C10" s="215"/>
      <c r="D10" s="78"/>
    </row>
    <row r="11" spans="1:4">
      <c r="A11" s="153"/>
      <c r="B11" s="155" t="s">
        <v>71</v>
      </c>
      <c r="C11" s="215"/>
      <c r="D11" s="78"/>
    </row>
    <row r="12" spans="1:4">
      <c r="A12" s="153"/>
      <c r="B12" s="155" t="s">
        <v>72</v>
      </c>
      <c r="C12" s="215"/>
      <c r="D12" s="78"/>
    </row>
    <row r="13" spans="1:4">
      <c r="A13" s="153"/>
      <c r="B13" s="155" t="s">
        <v>73</v>
      </c>
      <c r="C13" s="215"/>
      <c r="D13" s="78"/>
    </row>
    <row r="14" spans="1:4">
      <c r="A14" s="153"/>
      <c r="B14" s="155" t="s">
        <v>74</v>
      </c>
      <c r="C14" s="215"/>
      <c r="D14" s="78"/>
    </row>
    <row r="15" spans="1:4">
      <c r="A15" s="153"/>
      <c r="B15" s="155" t="s">
        <v>75</v>
      </c>
      <c r="C15" s="215"/>
      <c r="D15" s="78"/>
    </row>
    <row r="16" spans="1:4">
      <c r="A16" s="153"/>
      <c r="B16" s="155" t="s">
        <v>76</v>
      </c>
      <c r="C16" s="215"/>
      <c r="D16" s="78"/>
    </row>
    <row r="17" spans="1:4">
      <c r="A17" s="153"/>
      <c r="B17" s="155" t="s">
        <v>77</v>
      </c>
      <c r="C17" s="215"/>
      <c r="D17" s="78"/>
    </row>
    <row r="18" spans="1:4" ht="11.25" customHeight="1">
      <c r="A18" s="154"/>
      <c r="B18" s="156"/>
      <c r="C18" s="216"/>
      <c r="D18" s="78"/>
    </row>
    <row r="19" spans="1:4" ht="12.95">
      <c r="A19" s="221" t="s">
        <v>78</v>
      </c>
      <c r="B19" s="222"/>
      <c r="C19" s="17">
        <f>SUM(C5:C18)</f>
        <v>0.23599999999999999</v>
      </c>
      <c r="D19" s="78"/>
    </row>
    <row r="20" spans="1:4">
      <c r="D20" s="78"/>
    </row>
    <row r="21" spans="1:4">
      <c r="A21" s="211"/>
      <c r="B21" s="211"/>
      <c r="D21" s="78"/>
    </row>
    <row r="22" spans="1:4">
      <c r="D22" s="78"/>
    </row>
    <row r="23" spans="1:4">
      <c r="D23" s="78"/>
    </row>
  </sheetData>
  <sheetProtection algorithmName="SHA-512" hashValue="ZXWdCxvC+puCjqomMtuxtStNR7X8pq3Rcs9JXP6gbfMSdYDu3jniWzcAUq3Z1Kkf5TsOXKlXUpv8UsMLr1vnWQ==" saltValue="2/PAxGorVixlMQy5J26Cu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opLeftCell="A2" zoomScale="125" workbookViewId="0">
      <selection activeCell="C13" sqref="C13"/>
    </sheetView>
  </sheetViews>
  <sheetFormatPr defaultColWidth="9.140625" defaultRowHeight="12.6"/>
  <cols>
    <col min="1" max="1" width="15.42578125" style="1" customWidth="1"/>
    <col min="2" max="2" width="18.28515625" style="1" customWidth="1"/>
    <col min="3" max="3" width="13.5703125" style="5" bestFit="1" customWidth="1"/>
    <col min="4" max="4" width="18.5703125" style="1" customWidth="1"/>
    <col min="5" max="5" width="14" style="1" customWidth="1"/>
    <col min="6" max="6" width="9.140625" style="1"/>
    <col min="7" max="7" width="10.140625" style="1" hidden="1" customWidth="1"/>
    <col min="8" max="16384" width="9.140625" style="1"/>
  </cols>
  <sheetData>
    <row r="1" spans="1:7" ht="15.6">
      <c r="A1" s="71" t="s">
        <v>79</v>
      </c>
      <c r="B1" s="71"/>
      <c r="C1" s="71"/>
      <c r="D1" s="4"/>
      <c r="F1" s="15"/>
      <c r="G1" s="15"/>
    </row>
    <row r="2" spans="1:7">
      <c r="A2" s="15"/>
      <c r="B2" s="15"/>
      <c r="C2" s="15"/>
      <c r="D2" s="15"/>
      <c r="E2" s="15"/>
      <c r="F2" s="15"/>
      <c r="G2" s="15"/>
    </row>
    <row r="3" spans="1:7" ht="12.95">
      <c r="A3" s="72" t="s">
        <v>80</v>
      </c>
      <c r="B3" s="72"/>
      <c r="C3" s="72"/>
      <c r="D3" s="72"/>
      <c r="E3" s="72"/>
      <c r="F3" s="15"/>
      <c r="G3" s="15"/>
    </row>
    <row r="4" spans="1:7" s="6" customFormat="1" ht="35.25" customHeight="1">
      <c r="A4" s="229" t="s">
        <v>81</v>
      </c>
      <c r="B4" s="230"/>
      <c r="C4" s="7" t="s">
        <v>82</v>
      </c>
      <c r="D4" s="8" t="s">
        <v>83</v>
      </c>
      <c r="F4" s="15"/>
      <c r="G4" s="15"/>
    </row>
    <row r="5" spans="1:7">
      <c r="A5" s="223" t="s">
        <v>84</v>
      </c>
      <c r="B5" s="224"/>
      <c r="C5" s="10">
        <v>0</v>
      </c>
      <c r="D5" s="119">
        <v>3900.26</v>
      </c>
      <c r="F5" s="15"/>
      <c r="G5" s="15"/>
    </row>
    <row r="6" spans="1:7">
      <c r="A6" s="223" t="s">
        <v>85</v>
      </c>
      <c r="B6" s="224"/>
      <c r="C6" s="151">
        <v>2184.16</v>
      </c>
      <c r="D6" s="120"/>
      <c r="F6" s="15"/>
      <c r="G6" s="147">
        <f>SUM(1831.49*15.39%)+1831.49</f>
        <v>2113.356311</v>
      </c>
    </row>
    <row r="7" spans="1:7">
      <c r="A7" s="223" t="s">
        <v>86</v>
      </c>
      <c r="B7" s="224"/>
      <c r="C7" s="151">
        <v>3900.26</v>
      </c>
      <c r="D7" s="120"/>
      <c r="F7" s="15"/>
      <c r="G7" s="147">
        <f>SUM(3270.51*15.39%)+3270.51</f>
        <v>3773.8414890000004</v>
      </c>
    </row>
    <row r="8" spans="1:7">
      <c r="A8" s="223"/>
      <c r="B8" s="224"/>
      <c r="C8" s="11"/>
      <c r="D8" s="121"/>
      <c r="F8" s="15"/>
      <c r="G8" s="15"/>
    </row>
    <row r="9" spans="1:7">
      <c r="A9" s="231" t="s">
        <v>87</v>
      </c>
      <c r="B9" s="231"/>
      <c r="C9" s="231"/>
      <c r="D9" s="231"/>
      <c r="F9" s="15"/>
      <c r="G9" s="15"/>
    </row>
    <row r="10" spans="1:7">
      <c r="A10" s="15"/>
      <c r="B10" s="15"/>
      <c r="C10" s="15"/>
      <c r="D10" s="15"/>
      <c r="E10" s="15"/>
      <c r="F10" s="15"/>
      <c r="G10" s="15"/>
    </row>
    <row r="11" spans="1:7" ht="12.95">
      <c r="A11" s="72" t="s">
        <v>88</v>
      </c>
      <c r="B11" s="72"/>
      <c r="C11" s="72"/>
      <c r="D11" s="72"/>
      <c r="E11" s="72"/>
      <c r="F11" s="15"/>
      <c r="G11" s="15"/>
    </row>
    <row r="12" spans="1:7">
      <c r="A12" s="225" t="s">
        <v>82</v>
      </c>
      <c r="B12" s="226"/>
      <c r="C12" s="12">
        <f>D5</f>
        <v>3900.26</v>
      </c>
      <c r="D12" s="15"/>
      <c r="E12" s="15"/>
      <c r="F12" s="15"/>
      <c r="G12" s="15"/>
    </row>
    <row r="13" spans="1:7" ht="12.95">
      <c r="A13" s="227" t="s">
        <v>89</v>
      </c>
      <c r="B13" s="228"/>
      <c r="C13" s="13">
        <f>C12</f>
        <v>3900.26</v>
      </c>
      <c r="D13" s="15"/>
      <c r="E13" s="15"/>
      <c r="F13" s="15"/>
      <c r="G13" s="15"/>
    </row>
    <row r="14" spans="1:7">
      <c r="A14" s="15"/>
      <c r="B14" s="15"/>
      <c r="C14" s="15"/>
      <c r="D14" s="15"/>
      <c r="E14" s="15"/>
      <c r="F14" s="15"/>
      <c r="G14" s="15"/>
    </row>
    <row r="15" spans="1:7">
      <c r="A15" s="15"/>
      <c r="B15" s="15"/>
      <c r="C15" s="15"/>
      <c r="D15" s="15"/>
      <c r="E15" s="15"/>
      <c r="F15" s="15"/>
      <c r="G15" s="15"/>
    </row>
  </sheetData>
  <sheetProtection algorithmName="SHA-512" hashValue="QxpMEigR3p6JtkBT0euyEA9wiCpZoxrsrhI2pcczVELZmyfeOorEKAYEI0BN672duWc4JBIOzVKPNLw1cCzd7w==" saltValue="bk3yZFsO8QjQ/jkiiT6kTQ=="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8"/>
  <sheetViews>
    <sheetView topLeftCell="A2" zoomScale="97" zoomScaleNormal="97" workbookViewId="0">
      <selection activeCell="C5" sqref="C5"/>
    </sheetView>
  </sheetViews>
  <sheetFormatPr defaultColWidth="9.140625" defaultRowHeight="12.6"/>
  <cols>
    <col min="1" max="1" width="30.5703125" style="1" customWidth="1"/>
    <col min="2" max="2" width="43.85546875" style="1" customWidth="1"/>
    <col min="3" max="3" width="18" style="1" customWidth="1"/>
    <col min="4" max="4" width="13.140625" style="1" customWidth="1"/>
    <col min="5" max="5" width="9.140625" style="1"/>
    <col min="6" max="6" width="10.140625" style="1" hidden="1" customWidth="1"/>
    <col min="7" max="16384" width="9.140625" style="1"/>
  </cols>
  <sheetData>
    <row r="1" spans="1:6" ht="15.6">
      <c r="A1" s="71" t="s">
        <v>90</v>
      </c>
      <c r="B1" s="71"/>
      <c r="C1" s="71"/>
      <c r="D1" s="15"/>
      <c r="E1" s="15"/>
    </row>
    <row r="2" spans="1:6">
      <c r="A2" s="15"/>
      <c r="B2" s="15"/>
      <c r="C2" s="15"/>
      <c r="D2" s="15"/>
      <c r="E2" s="15"/>
    </row>
    <row r="3" spans="1:6" ht="12.95">
      <c r="A3" s="72" t="s">
        <v>91</v>
      </c>
      <c r="B3" s="72"/>
      <c r="C3" s="72"/>
      <c r="D3" s="15"/>
      <c r="E3" s="15"/>
    </row>
    <row r="4" spans="1:6">
      <c r="A4" s="217" t="s">
        <v>92</v>
      </c>
      <c r="B4" s="218"/>
      <c r="C4" s="247" t="s">
        <v>93</v>
      </c>
      <c r="D4" s="15"/>
      <c r="E4" s="15"/>
    </row>
    <row r="5" spans="1:6" ht="99" customHeight="1">
      <c r="A5" s="248" t="s">
        <v>94</v>
      </c>
      <c r="B5" s="249"/>
      <c r="C5" s="250">
        <v>2832.9</v>
      </c>
      <c r="D5" s="15"/>
      <c r="E5" s="15"/>
      <c r="F5" s="147">
        <f>SUM(2375.48*15.39%)+2375.48</f>
        <v>2741.0663720000002</v>
      </c>
    </row>
    <row r="6" spans="1:6">
      <c r="A6" s="15"/>
      <c r="B6" s="15"/>
      <c r="C6" s="15"/>
      <c r="D6" s="15"/>
      <c r="E6" s="15"/>
    </row>
    <row r="7" spans="1:6">
      <c r="A7" s="15"/>
      <c r="B7" s="15"/>
      <c r="C7" s="15"/>
      <c r="D7" s="15"/>
      <c r="E7" s="15"/>
    </row>
    <row r="8" spans="1:6">
      <c r="A8" s="15"/>
      <c r="B8" s="15"/>
      <c r="C8" s="15"/>
      <c r="D8" s="15"/>
      <c r="E8" s="15"/>
    </row>
  </sheetData>
  <sheetProtection algorithmName="SHA-512" hashValue="CwyYC0QBq3VaaojizIWg7vdGFAP2kK9P++moQy/Qvjo4AzNmjInD1GGeN31SDW20KfVdOoqe7LXe3YxtPKoRaQ==" saltValue="UiR8ybv3+Kq0DqFi9ftnxg=="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E11" sqref="E11"/>
    </sheetView>
  </sheetViews>
  <sheetFormatPr defaultColWidth="9.140625" defaultRowHeight="12.6"/>
  <cols>
    <col min="1" max="1" width="9.140625" style="1"/>
    <col min="2" max="2" width="11.140625" style="1" customWidth="1"/>
    <col min="3" max="3" width="6.85546875" style="1" customWidth="1"/>
    <col min="4" max="4" width="11.28515625" style="1" customWidth="1"/>
    <col min="5" max="5" width="17.85546875" style="1" customWidth="1"/>
    <col min="6" max="6" width="10.28515625" style="1" bestFit="1" customWidth="1"/>
    <col min="7" max="16384" width="9.140625" style="1"/>
  </cols>
  <sheetData>
    <row r="1" spans="1:7" ht="15.6">
      <c r="A1" s="71" t="s">
        <v>95</v>
      </c>
      <c r="B1" s="71"/>
      <c r="C1" s="71"/>
      <c r="D1" s="71"/>
      <c r="E1" s="71"/>
      <c r="F1" s="71"/>
      <c r="G1" s="15"/>
    </row>
    <row r="2" spans="1:7">
      <c r="A2" s="15"/>
      <c r="B2" s="15"/>
      <c r="C2" s="15"/>
      <c r="D2" s="15"/>
      <c r="E2" s="15"/>
      <c r="F2" s="15"/>
      <c r="G2" s="15"/>
    </row>
    <row r="3" spans="1:7" ht="12.95">
      <c r="A3" s="72" t="s">
        <v>96</v>
      </c>
      <c r="B3" s="72"/>
      <c r="C3" s="72"/>
      <c r="D3" s="72"/>
      <c r="E3" s="72"/>
      <c r="F3" s="72"/>
    </row>
    <row r="4" spans="1:7" ht="12.95">
      <c r="A4" s="238" t="s">
        <v>97</v>
      </c>
      <c r="B4" s="238"/>
      <c r="C4" s="238"/>
      <c r="D4" s="238"/>
      <c r="E4" s="9" t="s">
        <v>98</v>
      </c>
    </row>
    <row r="5" spans="1:7">
      <c r="A5" s="239" t="s">
        <v>99</v>
      </c>
      <c r="B5" s="239"/>
      <c r="C5" s="239"/>
      <c r="D5" s="239"/>
      <c r="E5" s="27">
        <v>0.13250000000000001</v>
      </c>
    </row>
    <row r="6" spans="1:7" ht="12.95">
      <c r="A6" s="240" t="s">
        <v>100</v>
      </c>
      <c r="B6" s="240"/>
      <c r="C6" s="240"/>
      <c r="D6" s="240"/>
      <c r="E6" s="17">
        <f>SUM(E5:E5)</f>
        <v>0.13250000000000001</v>
      </c>
    </row>
    <row r="7" spans="1:7">
      <c r="A7" s="20"/>
      <c r="B7" s="20"/>
      <c r="C7" s="20"/>
      <c r="D7" s="20"/>
      <c r="E7" s="20"/>
    </row>
    <row r="8" spans="1:7">
      <c r="A8" s="18"/>
      <c r="B8" s="18"/>
      <c r="C8" s="18"/>
      <c r="D8" s="18"/>
      <c r="E8" s="18"/>
    </row>
    <row r="9" spans="1:7">
      <c r="A9" s="18"/>
      <c r="B9" s="18"/>
      <c r="C9" s="18"/>
      <c r="D9" s="18"/>
      <c r="E9" s="18"/>
    </row>
    <row r="10" spans="1:7" ht="12.95">
      <c r="A10" s="73" t="s">
        <v>101</v>
      </c>
      <c r="B10" s="74"/>
      <c r="C10" s="74"/>
      <c r="D10" s="74"/>
      <c r="E10" s="74"/>
      <c r="F10" s="74"/>
    </row>
    <row r="11" spans="1:7">
      <c r="A11" s="232" t="s">
        <v>102</v>
      </c>
      <c r="B11" s="233"/>
      <c r="C11" s="233"/>
      <c r="D11" s="234"/>
      <c r="E11" s="27">
        <v>1.2999999999999999E-2</v>
      </c>
    </row>
    <row r="12" spans="1:7">
      <c r="A12" s="232" t="s">
        <v>103</v>
      </c>
      <c r="B12" s="233"/>
      <c r="C12" s="233"/>
      <c r="D12" s="234"/>
      <c r="E12" s="27">
        <v>3.9E-2</v>
      </c>
    </row>
    <row r="13" spans="1:7" ht="12.95">
      <c r="A13" s="235" t="s">
        <v>104</v>
      </c>
      <c r="B13" s="236"/>
      <c r="C13" s="236"/>
      <c r="D13" s="237"/>
      <c r="E13" s="17">
        <f>SUM(E10:E12)</f>
        <v>5.1999999999999998E-2</v>
      </c>
    </row>
    <row r="14" spans="1:7">
      <c r="A14" s="18"/>
      <c r="B14" s="18"/>
      <c r="C14" s="18"/>
      <c r="D14" s="18"/>
      <c r="E14" s="18"/>
    </row>
    <row r="15" spans="1:7">
      <c r="A15" s="18" t="s">
        <v>105</v>
      </c>
      <c r="B15" s="18"/>
      <c r="C15" s="18"/>
      <c r="D15" s="18"/>
      <c r="E15" s="18"/>
    </row>
    <row r="16" spans="1:7" ht="12.95">
      <c r="A16" s="251" t="s">
        <v>106</v>
      </c>
      <c r="B16" s="252"/>
      <c r="C16" s="252"/>
      <c r="D16" s="253"/>
      <c r="E16" s="28">
        <f>SUM(E6,E13)</f>
        <v>0.1845</v>
      </c>
    </row>
    <row r="17" ht="16.5" customHeight="1"/>
  </sheetData>
  <sheetProtection algorithmName="SHA-512" hashValue="l6zIbZg+PnOiKXWsal/eJpXxjpXt4gtVkW4I2X85jHrIgp+XdnhsbEzYysoaRf/1/EaS/YucuJ4KmVWYD0e+Og==" saltValue="fXNCQTQnNBXvWbUbg/NiqA=="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D108"/>
  <sheetViews>
    <sheetView workbookViewId="0">
      <selection activeCell="H128" sqref="H128"/>
    </sheetView>
  </sheetViews>
  <sheetFormatPr defaultRowHeight="12.6"/>
  <cols>
    <col min="1" max="1" width="29" customWidth="1"/>
    <col min="2" max="2" width="17.42578125" customWidth="1"/>
    <col min="3" max="3" width="20" customWidth="1"/>
    <col min="4" max="5" width="9.140625" customWidth="1"/>
  </cols>
  <sheetData>
    <row r="3" spans="1:4" ht="12.95">
      <c r="A3" s="3" t="s">
        <v>107</v>
      </c>
      <c r="B3" s="78"/>
      <c r="C3" s="78"/>
      <c r="D3" s="78"/>
    </row>
    <row r="4" spans="1:4">
      <c r="A4" s="79" t="s">
        <v>108</v>
      </c>
      <c r="B4" s="241" t="s">
        <v>109</v>
      </c>
      <c r="C4" s="242"/>
      <c r="D4" s="243"/>
    </row>
    <row r="5" spans="1:4">
      <c r="A5" s="79" t="s">
        <v>110</v>
      </c>
      <c r="B5" s="244" t="str">
        <f>INDEX($C$10:$C$108,MATCH(B4:D4,B10:B108,0))</f>
        <v>Unspecified Region</v>
      </c>
      <c r="C5" s="245"/>
      <c r="D5" s="246"/>
    </row>
    <row r="7" spans="1:4" hidden="1">
      <c r="A7" t="s">
        <v>111</v>
      </c>
      <c r="B7" t="str">
        <f>INDEX($D$10:$D$108,MATCH(B4:D4,B10:B108,0))</f>
        <v>-</v>
      </c>
    </row>
    <row r="8" spans="1:4" hidden="1"/>
    <row r="9" spans="1:4" ht="14.45" hidden="1">
      <c r="B9" s="80" t="s">
        <v>112</v>
      </c>
      <c r="C9" s="80" t="s">
        <v>113</v>
      </c>
      <c r="D9" s="81" t="s">
        <v>111</v>
      </c>
    </row>
    <row r="10" spans="1:4" ht="14.45" hidden="1">
      <c r="B10" s="82" t="s">
        <v>109</v>
      </c>
      <c r="C10" s="82" t="s">
        <v>114</v>
      </c>
      <c r="D10" s="83" t="s">
        <v>115</v>
      </c>
    </row>
    <row r="11" spans="1:4" ht="14.45" hidden="1">
      <c r="B11" s="84" t="s">
        <v>116</v>
      </c>
      <c r="C11" s="84" t="s">
        <v>117</v>
      </c>
      <c r="D11" s="159">
        <v>0.97099999999999997</v>
      </c>
    </row>
    <row r="12" spans="1:4" ht="14.45" hidden="1">
      <c r="B12" s="84" t="s">
        <v>118</v>
      </c>
      <c r="C12" s="84" t="s">
        <v>119</v>
      </c>
      <c r="D12" s="159">
        <v>1.0169999999999999</v>
      </c>
    </row>
    <row r="13" spans="1:4" ht="14.45" hidden="1">
      <c r="B13" s="84" t="s">
        <v>120</v>
      </c>
      <c r="C13" s="84" t="s">
        <v>121</v>
      </c>
      <c r="D13" s="159">
        <v>0.95399999999999996</v>
      </c>
    </row>
    <row r="14" spans="1:4" ht="14.45" hidden="1">
      <c r="B14" s="84" t="s">
        <v>122</v>
      </c>
      <c r="C14" s="84" t="s">
        <v>121</v>
      </c>
      <c r="D14" s="159">
        <v>0.95399999999999996</v>
      </c>
    </row>
    <row r="15" spans="1:4" ht="14.45" hidden="1">
      <c r="B15" s="84" t="s">
        <v>123</v>
      </c>
      <c r="C15" s="84" t="s">
        <v>124</v>
      </c>
      <c r="D15" s="159">
        <v>0.996</v>
      </c>
    </row>
    <row r="16" spans="1:4" ht="14.45" hidden="1">
      <c r="B16" s="84" t="s">
        <v>125</v>
      </c>
      <c r="C16" s="85" t="s">
        <v>126</v>
      </c>
      <c r="D16" s="159">
        <v>0.97799999999999998</v>
      </c>
    </row>
    <row r="17" spans="2:4" ht="14.45" hidden="1">
      <c r="B17" s="84" t="s">
        <v>127</v>
      </c>
      <c r="C17" s="84" t="s">
        <v>128</v>
      </c>
      <c r="D17" s="159">
        <v>1.014</v>
      </c>
    </row>
    <row r="18" spans="2:4" ht="14.45" hidden="1">
      <c r="B18" s="84" t="s">
        <v>129</v>
      </c>
      <c r="C18" s="85" t="s">
        <v>130</v>
      </c>
      <c r="D18" s="159">
        <v>1.01</v>
      </c>
    </row>
    <row r="19" spans="2:4" ht="14.45" hidden="1">
      <c r="B19" s="84" t="s">
        <v>131</v>
      </c>
      <c r="C19" s="85" t="s">
        <v>132</v>
      </c>
      <c r="D19" s="159">
        <v>0.97699999999999998</v>
      </c>
    </row>
    <row r="20" spans="2:4" ht="14.45" hidden="1">
      <c r="B20" s="84" t="s">
        <v>133</v>
      </c>
      <c r="C20" s="84" t="s">
        <v>119</v>
      </c>
      <c r="D20" s="159">
        <v>1.0169999999999999</v>
      </c>
    </row>
    <row r="21" spans="2:4" ht="14.45" hidden="1">
      <c r="B21" s="84" t="s">
        <v>134</v>
      </c>
      <c r="C21" s="84" t="s">
        <v>121</v>
      </c>
      <c r="D21" s="159">
        <v>0.95399999999999996</v>
      </c>
    </row>
    <row r="22" spans="2:4" ht="14.45" hidden="1">
      <c r="B22" s="84" t="s">
        <v>135</v>
      </c>
      <c r="C22" s="85" t="s">
        <v>126</v>
      </c>
      <c r="D22" s="159">
        <v>0.97799999999999998</v>
      </c>
    </row>
    <row r="23" spans="2:4" ht="14.45" hidden="1">
      <c r="B23" s="84" t="s">
        <v>136</v>
      </c>
      <c r="C23" s="85" t="s">
        <v>119</v>
      </c>
      <c r="D23" s="159">
        <v>1.0169999999999999</v>
      </c>
    </row>
    <row r="24" spans="2:4" ht="14.45" hidden="1">
      <c r="B24" s="84" t="s">
        <v>137</v>
      </c>
      <c r="C24" s="85" t="s">
        <v>138</v>
      </c>
      <c r="D24" s="159">
        <v>1.0109999999999999</v>
      </c>
    </row>
    <row r="25" spans="2:4" ht="14.45" hidden="1">
      <c r="B25" s="84" t="s">
        <v>139</v>
      </c>
      <c r="C25" s="84" t="s">
        <v>121</v>
      </c>
      <c r="D25" s="159">
        <v>0.95399999999999996</v>
      </c>
    </row>
    <row r="26" spans="2:4" ht="14.45" hidden="1">
      <c r="B26" s="84" t="s">
        <v>140</v>
      </c>
      <c r="C26" s="85" t="s">
        <v>117</v>
      </c>
      <c r="D26" s="159">
        <v>0.97099999999999997</v>
      </c>
    </row>
    <row r="27" spans="2:4" ht="14.45" hidden="1">
      <c r="B27" s="84" t="s">
        <v>141</v>
      </c>
      <c r="C27" s="85" t="s">
        <v>126</v>
      </c>
      <c r="D27" s="159">
        <v>0.97799999999999998</v>
      </c>
    </row>
    <row r="28" spans="2:4" ht="14.45" hidden="1">
      <c r="B28" s="84" t="s">
        <v>142</v>
      </c>
      <c r="C28" s="84" t="s">
        <v>121</v>
      </c>
      <c r="D28" s="159">
        <v>0.95399999999999996</v>
      </c>
    </row>
    <row r="29" spans="2:4" ht="14.45" hidden="1">
      <c r="B29" s="84" t="s">
        <v>143</v>
      </c>
      <c r="C29" s="84" t="s">
        <v>119</v>
      </c>
      <c r="D29" s="159">
        <v>1.0169999999999999</v>
      </c>
    </row>
    <row r="30" spans="2:4" ht="14.45" hidden="1">
      <c r="B30" s="84" t="s">
        <v>144</v>
      </c>
      <c r="C30" s="85" t="s">
        <v>145</v>
      </c>
      <c r="D30" s="159">
        <v>1.006</v>
      </c>
    </row>
    <row r="31" spans="2:4" ht="14.45" hidden="1">
      <c r="B31" s="84" t="s">
        <v>146</v>
      </c>
      <c r="C31" s="84" t="s">
        <v>121</v>
      </c>
      <c r="D31" s="159">
        <v>0.95399999999999996</v>
      </c>
    </row>
    <row r="32" spans="2:4" ht="14.45" hidden="1">
      <c r="B32" s="84" t="s">
        <v>147</v>
      </c>
      <c r="C32" s="85" t="s">
        <v>130</v>
      </c>
      <c r="D32" s="159">
        <v>1.01</v>
      </c>
    </row>
    <row r="33" spans="2:4" ht="14.45" hidden="1">
      <c r="B33" s="84" t="s">
        <v>148</v>
      </c>
      <c r="C33" s="85" t="s">
        <v>145</v>
      </c>
      <c r="D33" s="159">
        <v>1.006</v>
      </c>
    </row>
    <row r="34" spans="2:4" ht="14.45" hidden="1">
      <c r="B34" s="84" t="s">
        <v>149</v>
      </c>
      <c r="C34" s="85" t="s">
        <v>130</v>
      </c>
      <c r="D34" s="159">
        <v>1.01</v>
      </c>
    </row>
    <row r="35" spans="2:4" ht="14.45" hidden="1">
      <c r="B35" s="84" t="s">
        <v>150</v>
      </c>
      <c r="C35" s="85" t="s">
        <v>130</v>
      </c>
      <c r="D35" s="159">
        <v>1.01</v>
      </c>
    </row>
    <row r="36" spans="2:4" ht="14.45" hidden="1">
      <c r="B36" s="84" t="s">
        <v>151</v>
      </c>
      <c r="C36" s="84" t="s">
        <v>121</v>
      </c>
      <c r="D36" s="159">
        <v>0.95399999999999996</v>
      </c>
    </row>
    <row r="37" spans="2:4" ht="14.45" hidden="1">
      <c r="B37" s="84" t="s">
        <v>152</v>
      </c>
      <c r="C37" s="84" t="s">
        <v>119</v>
      </c>
      <c r="D37" s="159">
        <v>1.0169999999999999</v>
      </c>
    </row>
    <row r="38" spans="2:4" ht="14.45" hidden="1">
      <c r="B38" s="84" t="s">
        <v>153</v>
      </c>
      <c r="C38" s="85" t="s">
        <v>154</v>
      </c>
      <c r="D38" s="159">
        <v>0.97599999999999998</v>
      </c>
    </row>
    <row r="39" spans="2:4" ht="14.45" hidden="1">
      <c r="B39" s="84" t="s">
        <v>155</v>
      </c>
      <c r="C39" s="84" t="s">
        <v>121</v>
      </c>
      <c r="D39" s="159">
        <v>0.95399999999999996</v>
      </c>
    </row>
    <row r="40" spans="2:4" ht="14.45" hidden="1">
      <c r="B40" s="84" t="s">
        <v>156</v>
      </c>
      <c r="C40" s="85" t="s">
        <v>119</v>
      </c>
      <c r="D40" s="159">
        <v>1.0169999999999999</v>
      </c>
    </row>
    <row r="41" spans="2:4" ht="14.45" hidden="1">
      <c r="B41" s="84" t="s">
        <v>157</v>
      </c>
      <c r="C41" s="85" t="s">
        <v>117</v>
      </c>
      <c r="D41" s="159">
        <v>0.97099999999999997</v>
      </c>
    </row>
    <row r="42" spans="2:4" ht="14.45" hidden="1">
      <c r="B42" s="84" t="s">
        <v>158</v>
      </c>
      <c r="C42" s="85" t="s">
        <v>126</v>
      </c>
      <c r="D42" s="159">
        <v>0.97799999999999998</v>
      </c>
    </row>
    <row r="43" spans="2:4" ht="14.45" hidden="1">
      <c r="B43" s="84" t="s">
        <v>159</v>
      </c>
      <c r="C43" s="85" t="s">
        <v>117</v>
      </c>
      <c r="D43" s="159">
        <v>0.97099999999999997</v>
      </c>
    </row>
    <row r="44" spans="2:4" ht="14.45" hidden="1">
      <c r="B44" s="84" t="s">
        <v>160</v>
      </c>
      <c r="C44" s="85" t="s">
        <v>126</v>
      </c>
      <c r="D44" s="159">
        <v>0.97799999999999998</v>
      </c>
    </row>
    <row r="45" spans="2:4" ht="14.45" hidden="1">
      <c r="B45" s="84" t="s">
        <v>161</v>
      </c>
      <c r="C45" s="84" t="s">
        <v>121</v>
      </c>
      <c r="D45" s="159">
        <v>0.95399999999999996</v>
      </c>
    </row>
    <row r="46" spans="2:4" ht="14.45" hidden="1">
      <c r="B46" s="84" t="s">
        <v>162</v>
      </c>
      <c r="C46" s="85" t="s">
        <v>117</v>
      </c>
      <c r="D46" s="159">
        <v>0.97099999999999997</v>
      </c>
    </row>
    <row r="47" spans="2:4" ht="14.45" hidden="1">
      <c r="B47" s="84" t="s">
        <v>163</v>
      </c>
      <c r="C47" s="85" t="s">
        <v>126</v>
      </c>
      <c r="D47" s="159">
        <v>0.97799999999999998</v>
      </c>
    </row>
    <row r="48" spans="2:4" ht="14.45" hidden="1">
      <c r="B48" s="84" t="s">
        <v>164</v>
      </c>
      <c r="C48" s="85" t="s">
        <v>117</v>
      </c>
      <c r="D48" s="159">
        <v>0.97099999999999997</v>
      </c>
    </row>
    <row r="49" spans="2:4" ht="14.45" hidden="1">
      <c r="B49" s="84" t="s">
        <v>165</v>
      </c>
      <c r="C49" s="84" t="s">
        <v>121</v>
      </c>
      <c r="D49" s="159">
        <v>0.95399999999999996</v>
      </c>
    </row>
    <row r="50" spans="2:4" ht="14.45" hidden="1">
      <c r="B50" s="84" t="s">
        <v>166</v>
      </c>
      <c r="C50" s="85" t="s">
        <v>119</v>
      </c>
      <c r="D50" s="159">
        <v>1.0169999999999999</v>
      </c>
    </row>
    <row r="51" spans="2:4" ht="14.45" hidden="1">
      <c r="B51" s="84" t="s">
        <v>167</v>
      </c>
      <c r="C51" s="85" t="s">
        <v>126</v>
      </c>
      <c r="D51" s="159">
        <v>0.97799999999999998</v>
      </c>
    </row>
    <row r="52" spans="2:4" ht="14.45" hidden="1">
      <c r="B52" s="84" t="s">
        <v>168</v>
      </c>
      <c r="C52" s="85" t="s">
        <v>126</v>
      </c>
      <c r="D52" s="159">
        <v>0.97799999999999998</v>
      </c>
    </row>
    <row r="53" spans="2:4" ht="14.45" hidden="1">
      <c r="B53" s="84" t="s">
        <v>169</v>
      </c>
      <c r="C53" s="85" t="s">
        <v>126</v>
      </c>
      <c r="D53" s="159">
        <v>0.97799999999999998</v>
      </c>
    </row>
    <row r="54" spans="2:4" ht="14.45" hidden="1">
      <c r="B54" s="84" t="s">
        <v>170</v>
      </c>
      <c r="C54" s="84" t="s">
        <v>121</v>
      </c>
      <c r="D54" s="159">
        <v>0.95399999999999996</v>
      </c>
    </row>
    <row r="55" spans="2:4" ht="14.45" hidden="1">
      <c r="B55" s="84" t="s">
        <v>171</v>
      </c>
      <c r="C55" s="84" t="s">
        <v>121</v>
      </c>
      <c r="D55" s="159">
        <v>0.95399999999999996</v>
      </c>
    </row>
    <row r="56" spans="2:4" ht="14.45" hidden="1">
      <c r="B56" s="84" t="s">
        <v>172</v>
      </c>
      <c r="C56" s="85" t="s">
        <v>130</v>
      </c>
      <c r="D56" s="159">
        <v>1.01</v>
      </c>
    </row>
    <row r="57" spans="2:4" ht="14.45" hidden="1">
      <c r="B57" s="84" t="s">
        <v>173</v>
      </c>
      <c r="C57" s="85" t="s">
        <v>126</v>
      </c>
      <c r="D57" s="159">
        <v>0.97799999999999998</v>
      </c>
    </row>
    <row r="58" spans="2:4" ht="14.45" hidden="1">
      <c r="B58" s="84" t="s">
        <v>174</v>
      </c>
      <c r="C58" s="85" t="s">
        <v>119</v>
      </c>
      <c r="D58" s="159">
        <v>1.0169999999999999</v>
      </c>
    </row>
    <row r="59" spans="2:4" ht="14.45" hidden="1">
      <c r="B59" s="84" t="s">
        <v>175</v>
      </c>
      <c r="C59" s="84" t="s">
        <v>121</v>
      </c>
      <c r="D59" s="159">
        <v>0.95399999999999996</v>
      </c>
    </row>
    <row r="60" spans="2:4" ht="14.45" hidden="1">
      <c r="B60" s="84" t="s">
        <v>176</v>
      </c>
      <c r="C60" s="85" t="s">
        <v>130</v>
      </c>
      <c r="D60" s="159">
        <v>1.01</v>
      </c>
    </row>
    <row r="61" spans="2:4" ht="14.45" hidden="1">
      <c r="B61" s="84" t="s">
        <v>177</v>
      </c>
      <c r="C61" s="85" t="s">
        <v>126</v>
      </c>
      <c r="D61" s="159">
        <v>0.97799999999999998</v>
      </c>
    </row>
    <row r="62" spans="2:4" ht="14.45" hidden="1">
      <c r="B62" s="84" t="s">
        <v>178</v>
      </c>
      <c r="C62" s="85" t="s">
        <v>128</v>
      </c>
      <c r="D62" s="159">
        <v>1.014</v>
      </c>
    </row>
    <row r="63" spans="2:4" ht="14.45" hidden="1">
      <c r="B63" s="84" t="s">
        <v>179</v>
      </c>
      <c r="C63" s="85" t="s">
        <v>126</v>
      </c>
      <c r="D63" s="159">
        <v>0.97799999999999998</v>
      </c>
    </row>
    <row r="64" spans="2:4" ht="14.45" hidden="1">
      <c r="B64" s="84" t="s">
        <v>180</v>
      </c>
      <c r="C64" s="84" t="s">
        <v>121</v>
      </c>
      <c r="D64" s="159">
        <v>0.95399999999999996</v>
      </c>
    </row>
    <row r="65" spans="2:4" ht="14.45" hidden="1">
      <c r="B65" s="84" t="s">
        <v>181</v>
      </c>
      <c r="C65" s="85" t="s">
        <v>145</v>
      </c>
      <c r="D65" s="159">
        <v>1.006</v>
      </c>
    </row>
    <row r="66" spans="2:4" ht="14.45" hidden="1">
      <c r="B66" s="84" t="s">
        <v>182</v>
      </c>
      <c r="C66" s="84" t="s">
        <v>121</v>
      </c>
      <c r="D66" s="159">
        <v>0.95399999999999996</v>
      </c>
    </row>
    <row r="67" spans="2:4" ht="14.45" hidden="1">
      <c r="B67" s="84" t="s">
        <v>183</v>
      </c>
      <c r="C67" s="84" t="s">
        <v>121</v>
      </c>
      <c r="D67" s="159">
        <v>0.95399999999999996</v>
      </c>
    </row>
    <row r="68" spans="2:4" ht="14.45" hidden="1">
      <c r="B68" s="84" t="s">
        <v>184</v>
      </c>
      <c r="C68" s="85" t="s">
        <v>117</v>
      </c>
      <c r="D68" s="159">
        <v>0.97099999999999997</v>
      </c>
    </row>
    <row r="69" spans="2:4" ht="14.45" hidden="1">
      <c r="B69" s="84" t="s">
        <v>185</v>
      </c>
      <c r="C69" s="85" t="s">
        <v>126</v>
      </c>
      <c r="D69" s="159">
        <v>0.97799999999999998</v>
      </c>
    </row>
    <row r="70" spans="2:4" ht="14.45" hidden="1">
      <c r="B70" s="84" t="s">
        <v>186</v>
      </c>
      <c r="C70" s="85" t="s">
        <v>187</v>
      </c>
      <c r="D70" s="159">
        <v>1.026</v>
      </c>
    </row>
    <row r="71" spans="2:4" ht="14.45" hidden="1">
      <c r="B71" s="84" t="s">
        <v>188</v>
      </c>
      <c r="C71" s="84" t="s">
        <v>121</v>
      </c>
      <c r="D71" s="159">
        <v>0.95399999999999996</v>
      </c>
    </row>
    <row r="72" spans="2:4" ht="14.45" hidden="1">
      <c r="B72" s="84" t="s">
        <v>189</v>
      </c>
      <c r="C72" s="84" t="s">
        <v>119</v>
      </c>
      <c r="D72" s="159">
        <v>1.0169999999999999</v>
      </c>
    </row>
    <row r="73" spans="2:4" ht="14.45" hidden="1">
      <c r="B73" s="84" t="s">
        <v>190</v>
      </c>
      <c r="C73" s="84" t="s">
        <v>121</v>
      </c>
      <c r="D73" s="159">
        <v>0.95399999999999996</v>
      </c>
    </row>
    <row r="74" spans="2:4" ht="14.45" hidden="1">
      <c r="B74" s="84" t="s">
        <v>191</v>
      </c>
      <c r="C74" s="85" t="s">
        <v>126</v>
      </c>
      <c r="D74" s="159">
        <v>0.97799999999999998</v>
      </c>
    </row>
    <row r="75" spans="2:4" ht="14.45" hidden="1">
      <c r="B75" s="84" t="s">
        <v>192</v>
      </c>
      <c r="C75" s="85" t="s">
        <v>126</v>
      </c>
      <c r="D75" s="159">
        <v>0.97799999999999998</v>
      </c>
    </row>
    <row r="76" spans="2:4" ht="14.45" hidden="1">
      <c r="B76" s="84" t="s">
        <v>193</v>
      </c>
      <c r="C76" s="85" t="s">
        <v>130</v>
      </c>
      <c r="D76" s="159">
        <v>1.01</v>
      </c>
    </row>
    <row r="77" spans="2:4" ht="14.45" hidden="1">
      <c r="B77" s="84" t="s">
        <v>194</v>
      </c>
      <c r="C77" s="85" t="s">
        <v>126</v>
      </c>
      <c r="D77" s="159">
        <v>0.97799999999999998</v>
      </c>
    </row>
    <row r="78" spans="2:4" ht="14.45" hidden="1">
      <c r="B78" s="84" t="s">
        <v>195</v>
      </c>
      <c r="C78" s="84" t="s">
        <v>121</v>
      </c>
      <c r="D78" s="159">
        <v>0.95399999999999996</v>
      </c>
    </row>
    <row r="79" spans="2:4" ht="14.45" hidden="1">
      <c r="B79" s="84" t="s">
        <v>196</v>
      </c>
      <c r="C79" s="85" t="s">
        <v>132</v>
      </c>
      <c r="D79" s="159">
        <v>0.97699999999999998</v>
      </c>
    </row>
    <row r="80" spans="2:4" ht="14.45" hidden="1">
      <c r="B80" s="84" t="s">
        <v>197</v>
      </c>
      <c r="C80" s="84" t="s">
        <v>119</v>
      </c>
      <c r="D80" s="159">
        <v>1.0169999999999999</v>
      </c>
    </row>
    <row r="81" spans="2:4" ht="14.45" hidden="1">
      <c r="B81" s="84" t="s">
        <v>198</v>
      </c>
      <c r="C81" s="85" t="s">
        <v>119</v>
      </c>
      <c r="D81" s="159">
        <v>1.0169999999999999</v>
      </c>
    </row>
    <row r="82" spans="2:4" ht="14.45" hidden="1">
      <c r="B82" s="84" t="s">
        <v>199</v>
      </c>
      <c r="C82" s="85" t="s">
        <v>119</v>
      </c>
      <c r="D82" s="159">
        <v>1.0169999999999999</v>
      </c>
    </row>
    <row r="83" spans="2:4" ht="14.45" hidden="1">
      <c r="B83" s="84" t="s">
        <v>200</v>
      </c>
      <c r="C83" s="85" t="s">
        <v>124</v>
      </c>
      <c r="D83" s="159">
        <v>0.996</v>
      </c>
    </row>
    <row r="84" spans="2:4" ht="14.45" hidden="1">
      <c r="B84" s="84" t="s">
        <v>201</v>
      </c>
      <c r="C84" s="85" t="s">
        <v>130</v>
      </c>
      <c r="D84" s="159">
        <v>1.01</v>
      </c>
    </row>
    <row r="85" spans="2:4" ht="14.45" hidden="1">
      <c r="B85" s="84" t="s">
        <v>202</v>
      </c>
      <c r="C85" s="84" t="s">
        <v>121</v>
      </c>
      <c r="D85" s="159">
        <v>0.95399999999999996</v>
      </c>
    </row>
    <row r="86" spans="2:4" ht="14.45" hidden="1">
      <c r="B86" s="84" t="s">
        <v>203</v>
      </c>
      <c r="C86" s="85" t="s">
        <v>126</v>
      </c>
      <c r="D86" s="159">
        <v>0.97799999999999998</v>
      </c>
    </row>
    <row r="87" spans="2:4" ht="14.45" hidden="1">
      <c r="B87" s="84" t="s">
        <v>204</v>
      </c>
      <c r="C87" s="84" t="s">
        <v>121</v>
      </c>
      <c r="D87" s="159">
        <v>0.95399999999999996</v>
      </c>
    </row>
    <row r="88" spans="2:4" ht="14.45" hidden="1">
      <c r="B88" s="84" t="s">
        <v>205</v>
      </c>
      <c r="C88" s="84" t="s">
        <v>121</v>
      </c>
      <c r="D88" s="159">
        <v>0.95399999999999996</v>
      </c>
    </row>
    <row r="89" spans="2:4" ht="14.45" hidden="1">
      <c r="B89" s="84" t="s">
        <v>206</v>
      </c>
      <c r="C89" s="85" t="s">
        <v>145</v>
      </c>
      <c r="D89" s="159">
        <v>1.006</v>
      </c>
    </row>
    <row r="90" spans="2:4" ht="14.45" hidden="1">
      <c r="B90" s="84" t="s">
        <v>207</v>
      </c>
      <c r="C90" s="84" t="s">
        <v>121</v>
      </c>
      <c r="D90" s="159">
        <v>0.95399999999999996</v>
      </c>
    </row>
    <row r="91" spans="2:4" ht="14.45" hidden="1">
      <c r="B91" s="84" t="s">
        <v>208</v>
      </c>
      <c r="C91" s="85" t="s">
        <v>130</v>
      </c>
      <c r="D91" s="159">
        <v>1.01</v>
      </c>
    </row>
    <row r="92" spans="2:4" ht="14.45" hidden="1">
      <c r="B92" s="84" t="s">
        <v>209</v>
      </c>
      <c r="C92" s="84" t="s">
        <v>119</v>
      </c>
      <c r="D92" s="159">
        <v>1.0169999999999999</v>
      </c>
    </row>
    <row r="93" spans="2:4" ht="14.45" hidden="1">
      <c r="B93" s="84" t="s">
        <v>210</v>
      </c>
      <c r="C93" s="85" t="s">
        <v>130</v>
      </c>
      <c r="D93" s="159">
        <v>1.01</v>
      </c>
    </row>
    <row r="94" spans="2:4" ht="14.45" hidden="1">
      <c r="B94" s="84" t="s">
        <v>211</v>
      </c>
      <c r="C94" s="84" t="s">
        <v>121</v>
      </c>
      <c r="D94" s="159">
        <v>0.95399999999999996</v>
      </c>
    </row>
    <row r="95" spans="2:4" ht="14.45" hidden="1">
      <c r="B95" s="84" t="s">
        <v>212</v>
      </c>
      <c r="C95" s="85" t="s">
        <v>130</v>
      </c>
      <c r="D95" s="159">
        <v>1.01</v>
      </c>
    </row>
    <row r="96" spans="2:4" ht="14.45" hidden="1">
      <c r="B96" s="84" t="s">
        <v>213</v>
      </c>
      <c r="C96" s="85" t="s">
        <v>119</v>
      </c>
      <c r="D96" s="159">
        <v>1.0169999999999999</v>
      </c>
    </row>
    <row r="97" spans="2:4" ht="14.45" hidden="1">
      <c r="B97" s="122" t="s">
        <v>214</v>
      </c>
      <c r="C97" s="123" t="s">
        <v>126</v>
      </c>
      <c r="D97" s="160">
        <v>0.97799999999999998</v>
      </c>
    </row>
    <row r="98" spans="2:4" hidden="1">
      <c r="B98" s="124" t="s">
        <v>215</v>
      </c>
      <c r="C98" s="124" t="s">
        <v>121</v>
      </c>
      <c r="D98" s="161">
        <v>0.95399999999999996</v>
      </c>
    </row>
    <row r="99" spans="2:4" hidden="1">
      <c r="B99" s="124" t="s">
        <v>216</v>
      </c>
      <c r="C99" s="124" t="s">
        <v>121</v>
      </c>
      <c r="D99" s="161">
        <v>0.95399999999999996</v>
      </c>
    </row>
    <row r="100" spans="2:4" hidden="1">
      <c r="B100" s="124" t="s">
        <v>217</v>
      </c>
      <c r="C100" s="124" t="s">
        <v>126</v>
      </c>
      <c r="D100" s="161">
        <v>0.97799999999999998</v>
      </c>
    </row>
    <row r="101" spans="2:4" hidden="1">
      <c r="B101" s="124" t="s">
        <v>218</v>
      </c>
      <c r="C101" s="124" t="s">
        <v>119</v>
      </c>
      <c r="D101" s="161">
        <v>1.0169999999999999</v>
      </c>
    </row>
    <row r="102" spans="2:4" hidden="1">
      <c r="B102" s="124" t="s">
        <v>219</v>
      </c>
      <c r="C102" s="124" t="s">
        <v>126</v>
      </c>
      <c r="D102" s="161">
        <v>0.97799999999999998</v>
      </c>
    </row>
    <row r="103" spans="2:4" hidden="1">
      <c r="B103" s="124" t="s">
        <v>220</v>
      </c>
      <c r="C103" s="124" t="s">
        <v>119</v>
      </c>
      <c r="D103" s="161">
        <v>1.0169999999999999</v>
      </c>
    </row>
    <row r="104" spans="2:4" hidden="1">
      <c r="B104" s="124" t="s">
        <v>221</v>
      </c>
      <c r="C104" s="124" t="s">
        <v>117</v>
      </c>
      <c r="D104" s="161">
        <v>0.97099999999999997</v>
      </c>
    </row>
    <row r="105" spans="2:4" hidden="1">
      <c r="B105" s="124" t="s">
        <v>222</v>
      </c>
      <c r="C105" s="124" t="s">
        <v>132</v>
      </c>
      <c r="D105" s="161">
        <v>0.97699999999999998</v>
      </c>
    </row>
    <row r="106" spans="2:4" hidden="1">
      <c r="B106" s="124" t="s">
        <v>223</v>
      </c>
      <c r="C106" s="124" t="s">
        <v>121</v>
      </c>
      <c r="D106" s="162">
        <v>0.95399999999999996</v>
      </c>
    </row>
    <row r="107" spans="2:4" hidden="1">
      <c r="B107" s="124" t="s">
        <v>224</v>
      </c>
      <c r="C107" s="124" t="s">
        <v>117</v>
      </c>
      <c r="D107" s="161">
        <v>0.97099999999999997</v>
      </c>
    </row>
    <row r="108" spans="2:4" hidden="1">
      <c r="B108" s="124" t="s">
        <v>225</v>
      </c>
      <c r="C108" s="124" t="s">
        <v>130</v>
      </c>
      <c r="D108" s="161">
        <v>1.01</v>
      </c>
    </row>
  </sheetData>
  <sheetProtection algorithmName="SHA-512" hashValue="IyBKmvYgUyylgy34VlizTaR0k0SSmkAk7wOtCdy7KIZhkFxhMSMxH8JLKpTsQ5ogqbSOMhC5G0eZxbETNhMe9Q==" saltValue="Skd2PxW9MJRsHgPnMfZkQ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5"/>
  <sheetViews>
    <sheetView zoomScale="125" workbookViewId="0">
      <selection activeCell="F23" sqref="F23"/>
    </sheetView>
  </sheetViews>
  <sheetFormatPr defaultColWidth="9.140625" defaultRowHeight="12.6"/>
  <cols>
    <col min="1" max="1" width="41.5703125" style="1" customWidth="1"/>
    <col min="2" max="2" width="25" style="1" customWidth="1"/>
    <col min="3" max="4" width="15.7109375" style="1" customWidth="1"/>
    <col min="5" max="5" width="15.7109375" style="95" customWidth="1"/>
    <col min="6" max="6" width="11.28515625" style="1" bestFit="1" customWidth="1"/>
    <col min="7" max="16384" width="9.140625" style="1"/>
  </cols>
  <sheetData>
    <row r="1" spans="1:6" ht="15.6">
      <c r="A1" s="14" t="s">
        <v>226</v>
      </c>
      <c r="B1" s="14"/>
      <c r="C1" s="15"/>
      <c r="D1" s="14"/>
      <c r="F1" s="15"/>
    </row>
    <row r="2" spans="1:6">
      <c r="A2" s="15"/>
      <c r="C2" s="15"/>
      <c r="F2" s="15"/>
    </row>
    <row r="3" spans="1:6" ht="12.95">
      <c r="A3" s="3" t="s">
        <v>0</v>
      </c>
      <c r="B3" s="78"/>
      <c r="C3" s="15"/>
      <c r="D3" s="3" t="s">
        <v>227</v>
      </c>
      <c r="F3" s="15"/>
    </row>
    <row r="4" spans="1:6">
      <c r="A4" s="19" t="s">
        <v>228</v>
      </c>
      <c r="B4" s="250">
        <f>'Direct Staffing'!C68</f>
        <v>0</v>
      </c>
      <c r="C4" s="15"/>
      <c r="D4" s="21">
        <f>B4</f>
        <v>0</v>
      </c>
      <c r="F4" s="15"/>
    </row>
    <row r="5" spans="1:6">
      <c r="A5" s="15"/>
      <c r="B5" s="78"/>
      <c r="C5" s="15"/>
      <c r="D5" s="2"/>
      <c r="F5" s="15"/>
    </row>
    <row r="6" spans="1:6" ht="12.95">
      <c r="A6" s="3" t="s">
        <v>229</v>
      </c>
      <c r="B6" s="78"/>
      <c r="C6" s="15"/>
      <c r="D6" s="3"/>
      <c r="F6" s="15"/>
    </row>
    <row r="7" spans="1:6">
      <c r="A7" s="19" t="s">
        <v>230</v>
      </c>
      <c r="B7" s="254">
        <f>'Direct Staffing'!C71</f>
        <v>0</v>
      </c>
      <c r="C7" s="15"/>
      <c r="D7" s="21">
        <f>B7</f>
        <v>0</v>
      </c>
      <c r="F7" s="15"/>
    </row>
    <row r="8" spans="1:6">
      <c r="A8" s="15"/>
      <c r="B8" s="78"/>
      <c r="C8" s="15"/>
      <c r="D8" s="2"/>
      <c r="F8" s="15"/>
    </row>
    <row r="9" spans="1:6" ht="12.95">
      <c r="A9" s="3" t="s">
        <v>231</v>
      </c>
      <c r="B9" s="78"/>
      <c r="C9" s="15"/>
      <c r="D9" s="2"/>
      <c r="F9" s="15"/>
    </row>
    <row r="10" spans="1:6">
      <c r="A10" s="19" t="s">
        <v>232</v>
      </c>
      <c r="B10" s="255">
        <f>'Employee Related Expenses'!C19</f>
        <v>0.23599999999999999</v>
      </c>
      <c r="C10" s="15"/>
      <c r="D10" s="21">
        <f>B10*B4</f>
        <v>0</v>
      </c>
      <c r="F10" s="15"/>
    </row>
    <row r="11" spans="1:6">
      <c r="A11" s="15"/>
      <c r="B11" s="78"/>
      <c r="C11" s="15"/>
      <c r="D11" s="2"/>
      <c r="F11" s="15"/>
    </row>
    <row r="12" spans="1:6" ht="12.95">
      <c r="A12" s="3" t="s">
        <v>79</v>
      </c>
      <c r="B12" s="78"/>
      <c r="C12" s="15"/>
      <c r="D12" s="2"/>
      <c r="F12" s="15"/>
    </row>
    <row r="13" spans="1:6">
      <c r="A13" s="19" t="s">
        <v>83</v>
      </c>
      <c r="B13" s="256">
        <f>Transportation!C13</f>
        <v>3900.26</v>
      </c>
      <c r="C13" s="15"/>
      <c r="D13" s="21">
        <f>B13/365</f>
        <v>10.685643835616439</v>
      </c>
      <c r="F13" s="15"/>
    </row>
    <row r="14" spans="1:6">
      <c r="A14" s="15"/>
      <c r="B14" s="78"/>
      <c r="C14" s="15"/>
      <c r="D14" s="2"/>
      <c r="F14" s="15"/>
    </row>
    <row r="15" spans="1:6" ht="12.95">
      <c r="A15" s="3" t="s">
        <v>233</v>
      </c>
      <c r="B15" s="78"/>
      <c r="C15" s="15"/>
      <c r="D15" s="2"/>
      <c r="F15" s="15"/>
    </row>
    <row r="16" spans="1:6">
      <c r="A16" s="19" t="s">
        <v>234</v>
      </c>
      <c r="B16" s="257">
        <f>'Client Programming &amp; Supports'!C5</f>
        <v>2832.9</v>
      </c>
      <c r="C16" s="15"/>
      <c r="D16" s="21">
        <f>B16/365</f>
        <v>7.7613698630136989</v>
      </c>
      <c r="F16" s="15"/>
    </row>
    <row r="17" spans="1:6">
      <c r="A17" s="15"/>
      <c r="B17" s="78"/>
      <c r="C17" s="15"/>
      <c r="D17" s="2"/>
      <c r="F17" s="15"/>
    </row>
    <row r="18" spans="1:6" ht="12.95">
      <c r="A18" s="3" t="s">
        <v>95</v>
      </c>
      <c r="B18" s="78"/>
      <c r="C18" s="15"/>
      <c r="D18" s="2"/>
      <c r="F18" s="15"/>
    </row>
    <row r="19" spans="1:6">
      <c r="A19" s="19" t="s">
        <v>235</v>
      </c>
      <c r="B19" s="258">
        <f>'Program Related Expenses'!E16</f>
        <v>0.1845</v>
      </c>
      <c r="C19" s="15"/>
      <c r="D19" s="21">
        <f>E19-(D4+D10+D13+D16+D7)</f>
        <v>4.173481333411722</v>
      </c>
      <c r="E19" s="95">
        <f>(D4+D7+D10+D13+D16)/(1-B19)</f>
        <v>22.620495032041859</v>
      </c>
      <c r="F19" s="15"/>
    </row>
    <row r="20" spans="1:6">
      <c r="A20" s="86"/>
      <c r="B20" s="259"/>
      <c r="C20" s="15"/>
      <c r="D20" s="21"/>
      <c r="F20" s="15"/>
    </row>
    <row r="21" spans="1:6" s="90" customFormat="1" ht="12.95">
      <c r="A21" s="87" t="s">
        <v>236</v>
      </c>
      <c r="B21" s="88"/>
      <c r="C21" s="89"/>
      <c r="D21" s="89"/>
      <c r="E21" s="95"/>
      <c r="F21" s="15"/>
    </row>
    <row r="22" spans="1:6" s="90" customFormat="1">
      <c r="A22" s="91" t="s">
        <v>237</v>
      </c>
      <c r="B22" s="92" t="str">
        <f>'Regional Variance Factor'!B7</f>
        <v>-</v>
      </c>
      <c r="C22" s="93"/>
      <c r="D22" s="94" t="str">
        <f>IF((B22&lt;&gt;"-"),((E19*B22)-E19),"Select County")</f>
        <v>Select County</v>
      </c>
      <c r="E22" s="95"/>
      <c r="F22" s="15"/>
    </row>
    <row r="23" spans="1:6">
      <c r="A23" s="15"/>
      <c r="B23" s="78"/>
      <c r="C23" s="15"/>
      <c r="D23" s="2"/>
      <c r="F23" s="15"/>
    </row>
    <row r="24" spans="1:6" ht="12.95">
      <c r="A24" s="16" t="s">
        <v>238</v>
      </c>
      <c r="B24" s="254" t="str">
        <f>D24</f>
        <v>Select County</v>
      </c>
      <c r="C24" s="15"/>
      <c r="D24" s="22" t="str">
        <f>IF((B22&lt;&gt;"-"),E19+D22,"Select County")</f>
        <v>Select County</v>
      </c>
      <c r="F24" s="15"/>
    </row>
    <row r="25" spans="1:6">
      <c r="A25" s="15"/>
      <c r="C25" s="15"/>
      <c r="F25" s="15"/>
    </row>
    <row r="26" spans="1:6" s="128" customFormat="1" ht="12.95" hidden="1">
      <c r="A26" s="125" t="s">
        <v>239</v>
      </c>
      <c r="B26" s="126">
        <v>1</v>
      </c>
      <c r="C26" s="127"/>
      <c r="E26" s="129"/>
      <c r="F26" s="127"/>
    </row>
    <row r="27" spans="1:6" s="128" customFormat="1" hidden="1">
      <c r="A27" s="130" t="s">
        <v>240</v>
      </c>
      <c r="B27" s="131" t="str">
        <f>IF((B22&lt;&gt;"-"),B29-B24,"-")</f>
        <v>-</v>
      </c>
      <c r="C27" s="127"/>
      <c r="E27" s="129"/>
      <c r="F27" s="127"/>
    </row>
    <row r="28" spans="1:6" s="128" customFormat="1" hidden="1">
      <c r="A28" s="127"/>
      <c r="B28" s="127"/>
      <c r="C28" s="127"/>
      <c r="E28" s="129"/>
      <c r="F28" s="127"/>
    </row>
    <row r="29" spans="1:6" ht="12.95">
      <c r="A29" s="16" t="s">
        <v>241</v>
      </c>
      <c r="B29" s="26" t="str">
        <f>IF((B22&lt;&gt;"-"),B26*B24,"Select County")</f>
        <v>Select County</v>
      </c>
      <c r="C29" s="15"/>
      <c r="F29" s="15"/>
    </row>
    <row r="30" spans="1:6" hidden="1">
      <c r="A30" s="15"/>
      <c r="B30" s="15"/>
    </row>
    <row r="31" spans="1:6" ht="12.95" hidden="1">
      <c r="A31" s="24" t="s">
        <v>242</v>
      </c>
      <c r="B31" s="29">
        <v>0.01</v>
      </c>
      <c r="C31" s="15"/>
      <c r="F31" s="15"/>
    </row>
    <row r="32" spans="1:6" hidden="1">
      <c r="A32" s="23" t="s">
        <v>243</v>
      </c>
      <c r="B32" s="25" t="str">
        <f>IF((B22&lt;&gt;"-"),B29*B31,"-")</f>
        <v>-</v>
      </c>
      <c r="C32" s="15"/>
      <c r="F32" s="15"/>
    </row>
    <row r="33" spans="1:6" hidden="1">
      <c r="A33" s="15"/>
      <c r="B33" s="15"/>
      <c r="C33" s="15"/>
      <c r="F33" s="15"/>
    </row>
    <row r="34" spans="1:6" ht="12.95" hidden="1">
      <c r="A34" s="16" t="s">
        <v>244</v>
      </c>
      <c r="B34" s="26" t="str">
        <f>IF((B22&lt;&gt;"-"),B29+B32,"-")</f>
        <v>-</v>
      </c>
      <c r="C34" s="15"/>
      <c r="F34" s="15"/>
    </row>
    <row r="35" spans="1:6" hidden="1"/>
    <row r="36" spans="1:6" ht="12.95" hidden="1">
      <c r="A36" s="24" t="s">
        <v>245</v>
      </c>
      <c r="B36" s="29">
        <v>0.05</v>
      </c>
      <c r="C36" s="15"/>
      <c r="F36" s="15"/>
    </row>
    <row r="37" spans="1:6" hidden="1">
      <c r="A37" s="23" t="s">
        <v>243</v>
      </c>
      <c r="B37" s="25" t="str">
        <f>IF((B22&lt;&gt;"-"),B34*B36,"-")</f>
        <v>-</v>
      </c>
      <c r="C37" s="15"/>
      <c r="F37" s="15"/>
    </row>
    <row r="38" spans="1:6" hidden="1">
      <c r="A38" s="15"/>
      <c r="B38" s="15"/>
      <c r="C38" s="15"/>
      <c r="F38" s="15"/>
    </row>
    <row r="39" spans="1:6" ht="12.95" hidden="1">
      <c r="A39" s="16" t="s">
        <v>246</v>
      </c>
      <c r="B39" s="26" t="str">
        <f>IF((B22&lt;&gt;"-"),B34+B37,"-")</f>
        <v>-</v>
      </c>
      <c r="C39" s="15"/>
      <c r="F39" s="15"/>
    </row>
    <row r="40" spans="1:6" hidden="1"/>
    <row r="41" spans="1:6" ht="12.95" hidden="1">
      <c r="A41" s="24" t="s">
        <v>247</v>
      </c>
      <c r="B41" s="29">
        <v>0.01</v>
      </c>
      <c r="C41" s="15"/>
      <c r="F41" s="15"/>
    </row>
    <row r="42" spans="1:6" hidden="1">
      <c r="A42" s="23" t="s">
        <v>243</v>
      </c>
      <c r="B42" s="25" t="str">
        <f>IF((B22&lt;&gt;"-"),B39*B41,"-")</f>
        <v>-</v>
      </c>
      <c r="C42" s="15"/>
      <c r="F42" s="15"/>
    </row>
    <row r="43" spans="1:6" hidden="1">
      <c r="A43" s="15"/>
      <c r="B43" s="15"/>
      <c r="C43" s="15"/>
      <c r="F43" s="15"/>
    </row>
    <row r="44" spans="1:6" ht="12.95" hidden="1">
      <c r="A44" s="16" t="s">
        <v>248</v>
      </c>
      <c r="B44" s="26" t="str">
        <f>IF((B22&lt;&gt;"-"),B39+B42,"Select County")</f>
        <v>Select County</v>
      </c>
      <c r="C44" s="15"/>
      <c r="F44" s="15"/>
    </row>
    <row r="45" spans="1:6">
      <c r="D45" s="18"/>
    </row>
  </sheetData>
  <sheetProtection algorithmName="SHA-512" hashValue="htaTRYz1QCjWwh9Ecf+7WNoSsCLUqcGmZ3uu+0FwpVg98o56KuOdWb1j1+j5h2sonh3TuTvggFjSMI0gZUhUrg==" saltValue="tiftivnYpFV9zmc4B4IPJg=="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4"/>
  <sheetViews>
    <sheetView topLeftCell="A22" workbookViewId="0">
      <selection activeCell="B25" sqref="B25"/>
    </sheetView>
  </sheetViews>
  <sheetFormatPr defaultRowHeight="12.6"/>
  <cols>
    <col min="1" max="1" width="10.140625" bestFit="1" customWidth="1"/>
    <col min="2" max="2" width="46" customWidth="1"/>
    <col min="3" max="3" width="10.85546875" customWidth="1"/>
  </cols>
  <sheetData>
    <row r="2" spans="1:3" ht="14.25" customHeight="1"/>
    <row r="3" spans="1:3" s="132" customFormat="1" ht="31.5" customHeight="1"/>
    <row r="4" spans="1:3">
      <c r="A4" t="s">
        <v>249</v>
      </c>
      <c r="B4" t="s">
        <v>250</v>
      </c>
    </row>
    <row r="5" spans="1:3">
      <c r="A5" s="76">
        <v>41640</v>
      </c>
      <c r="B5" s="77" t="s">
        <v>251</v>
      </c>
      <c r="C5" t="s">
        <v>252</v>
      </c>
    </row>
    <row r="6" spans="1:3">
      <c r="A6" s="76">
        <v>41709</v>
      </c>
      <c r="B6" s="77" t="s">
        <v>253</v>
      </c>
      <c r="C6" t="s">
        <v>254</v>
      </c>
    </row>
    <row r="7" spans="1:3">
      <c r="A7" s="76">
        <v>41808</v>
      </c>
      <c r="B7" s="77" t="s">
        <v>255</v>
      </c>
      <c r="C7" t="s">
        <v>256</v>
      </c>
    </row>
    <row r="8" spans="1:3">
      <c r="A8" s="76">
        <v>42164</v>
      </c>
      <c r="B8" s="77" t="s">
        <v>257</v>
      </c>
      <c r="C8" t="s">
        <v>258</v>
      </c>
    </row>
    <row r="9" spans="1:3">
      <c r="A9" s="76">
        <v>42339</v>
      </c>
      <c r="B9" s="77" t="s">
        <v>259</v>
      </c>
      <c r="C9" t="s">
        <v>260</v>
      </c>
    </row>
    <row r="10" spans="1:3">
      <c r="A10" s="76">
        <v>42522</v>
      </c>
      <c r="B10" s="114" t="s">
        <v>261</v>
      </c>
      <c r="C10" s="115" t="s">
        <v>262</v>
      </c>
    </row>
    <row r="11" spans="1:3">
      <c r="A11" s="76">
        <v>42887</v>
      </c>
      <c r="B11" s="114" t="s">
        <v>263</v>
      </c>
      <c r="C11" s="115" t="s">
        <v>264</v>
      </c>
    </row>
    <row r="12" spans="1:3">
      <c r="A12" s="76">
        <v>43282</v>
      </c>
      <c r="B12" s="114" t="s">
        <v>265</v>
      </c>
      <c r="C12" s="115" t="s">
        <v>266</v>
      </c>
    </row>
    <row r="13" spans="1:3" ht="24.95">
      <c r="A13" s="76">
        <v>43466</v>
      </c>
      <c r="B13" s="114" t="s">
        <v>267</v>
      </c>
      <c r="C13" s="115" t="s">
        <v>268</v>
      </c>
    </row>
    <row r="14" spans="1:3">
      <c r="A14" s="76">
        <v>43831</v>
      </c>
      <c r="B14" s="115" t="s">
        <v>269</v>
      </c>
      <c r="C14" s="115" t="s">
        <v>270</v>
      </c>
    </row>
    <row r="15" spans="1:3">
      <c r="A15" s="76">
        <v>43831</v>
      </c>
      <c r="B15" s="114" t="s">
        <v>271</v>
      </c>
      <c r="C15" s="115" t="s">
        <v>272</v>
      </c>
    </row>
    <row r="16" spans="1:3">
      <c r="A16" s="76">
        <v>44197</v>
      </c>
      <c r="B16" s="114" t="s">
        <v>273</v>
      </c>
      <c r="C16" s="115" t="s">
        <v>274</v>
      </c>
    </row>
    <row r="17" spans="1:3">
      <c r="A17" s="76">
        <v>44378</v>
      </c>
      <c r="B17" s="114" t="s">
        <v>273</v>
      </c>
      <c r="C17" s="115" t="s">
        <v>275</v>
      </c>
    </row>
    <row r="18" spans="1:3" ht="87.6">
      <c r="A18" s="76">
        <v>44562</v>
      </c>
      <c r="B18" s="77" t="s">
        <v>276</v>
      </c>
      <c r="C18" s="115" t="s">
        <v>277</v>
      </c>
    </row>
    <row r="19" spans="1:3">
      <c r="A19" s="76">
        <v>44720</v>
      </c>
      <c r="B19" s="77" t="s">
        <v>278</v>
      </c>
      <c r="C19" s="115" t="s">
        <v>279</v>
      </c>
    </row>
    <row r="20" spans="1:3" ht="37.5">
      <c r="A20" s="76">
        <v>44844</v>
      </c>
      <c r="B20" s="77" t="s">
        <v>280</v>
      </c>
      <c r="C20" s="115" t="s">
        <v>281</v>
      </c>
    </row>
    <row r="21" spans="1:3" ht="24.95">
      <c r="A21" s="76">
        <v>45246</v>
      </c>
      <c r="B21" s="77" t="s">
        <v>282</v>
      </c>
      <c r="C21" s="115" t="s">
        <v>283</v>
      </c>
    </row>
    <row r="22" spans="1:3">
      <c r="A22" s="76">
        <v>45560</v>
      </c>
      <c r="B22" s="158" t="s">
        <v>284</v>
      </c>
      <c r="C22" s="115" t="s">
        <v>285</v>
      </c>
    </row>
    <row r="23" spans="1:3" ht="37.5">
      <c r="A23" s="76">
        <v>45896</v>
      </c>
      <c r="B23" s="158" t="s">
        <v>286</v>
      </c>
      <c r="C23" s="115" t="s">
        <v>287</v>
      </c>
    </row>
    <row r="24" spans="1:3" ht="24.95">
      <c r="A24" s="76">
        <v>45902</v>
      </c>
      <c r="B24" s="77" t="s">
        <v>288</v>
      </c>
      <c r="C24" s="115" t="s">
        <v>287</v>
      </c>
    </row>
  </sheetData>
  <sheetProtection algorithmName="SHA-512" hashValue="bZntnEWUZjYwG0ilBHOIN/WhL5hyEyf9BIOgqRJ/eoxfvQER6ht6cXnoEjN+qY3NbGBMrEXRsTqmz+JrSHjI8Q==" saltValue="XOCQGb3sG1mpfCM+JG6tvQ==" spinCount="100000" sheet="1" objects="1" scenarios="1"/>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S2EJPDAADAY4-1521811817-565</_dlc_DocId>
    <_dlc_DocIdUrl xmlns="0cdeeaad-74a8-4021-893f-c7b31297a14c">
      <Url>https://workplace/cc/MnSPA/_layouts/15/DocIdRedir.aspx?ID=S2EJPDAADAY4-1521811817-565</Url>
      <Description>S2EJPDAADAY4-1521811817-565</Description>
    </_dlc_DocIdUrl>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56B3D-5927-40B9-8552-DB2C7FB133AD}"/>
</file>

<file path=customXml/itemProps2.xml><?xml version="1.0" encoding="utf-8"?>
<ds:datastoreItem xmlns:ds="http://schemas.openxmlformats.org/officeDocument/2006/customXml" ds:itemID="{777942AF-2D09-4976-BAE5-B67D5E2296D0}"/>
</file>

<file path=customXml/itemProps3.xml><?xml version="1.0" encoding="utf-8"?>
<ds:datastoreItem xmlns:ds="http://schemas.openxmlformats.org/officeDocument/2006/customXml" ds:itemID="{E17CEB6A-A90D-4B52-9DED-0C817F8E45E2}"/>
</file>

<file path=customXml/itemProps4.xml><?xml version="1.0" encoding="utf-8"?>
<ds:datastoreItem xmlns:ds="http://schemas.openxmlformats.org/officeDocument/2006/customXml" ds:itemID="{D094A11E-E27E-4040-A56D-F53ED1934D33}"/>
</file>

<file path=customXml/itemProps5.xml><?xml version="1.0" encoding="utf-8"?>
<ds:datastoreItem xmlns:ds="http://schemas.openxmlformats.org/officeDocument/2006/customXml" ds:itemID="{500B85A7-EF9D-43DF-AAAD-EA0A04E55916}"/>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Community Residential Services v17</dc:title>
  <dc:subject/>
  <dc:creator>pwmfb67</dc:creator>
  <cp:keywords/>
  <dc:description/>
  <cp:lastModifiedBy/>
  <cp:revision/>
  <dcterms:created xsi:type="dcterms:W3CDTF">2009-10-20T14:58:44Z</dcterms:created>
  <dcterms:modified xsi:type="dcterms:W3CDTF">2026-02-18T23:58:29Z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S2EJPDAADAY4-1521811817-565</vt:lpwstr>
  </property>
  <property fmtid="{D5CDD505-2E9C-101B-9397-08002B2CF9AE}" pid="17" name="_dlc_DocIdItemGuid">
    <vt:lpwstr>0f407f88-3569-4744-a941-e23361e0270f</vt:lpwstr>
  </property>
  <property fmtid="{D5CDD505-2E9C-101B-9397-08002B2CF9AE}" pid="18" name="_dlc_DocIdUrl">
    <vt:lpwstr>https://workplace/cc/MnSPA/_layouts/15/DocIdRedir.aspx?ID=S2EJPDAADAY4-1521811817-565, S2EJPDAADAY4-1521811817-565</vt:lpwstr>
  </property>
</Properties>
</file>