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01D5826-2492-44E4-A31E-128C38F8BEB6}" xr6:coauthVersionLast="47" xr6:coauthVersionMax="47" xr10:uidLastSave="{00000000-0000-0000-0000-000000000000}"/>
  <bookViews>
    <workbookView xWindow="33060" yWindow="2610" windowWidth="21600" windowHeight="11385" xr2:uid="{00000000-000D-0000-FFFF-FFFF00000000}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Staffing'!$A$7:$A$94</definedName>
    <definedName name="ADL_Assistance">'Direct Staffing'!$A$42:$E$53</definedName>
    <definedName name="DisabilityFactor">'Customized Living Rate FW'!$B$9</definedName>
    <definedName name="EntryTable">'Direct Staffing'!$A$8:$H$92</definedName>
    <definedName name="HealthRelated">'Direct Staffing'!$A$56:$E$72</definedName>
    <definedName name="MealsHomeManagementSocialization">'Direct Staffing'!$A$7:$E$24</definedName>
    <definedName name="MentalHealthManagement">'Direct Staffing'!$A$75:$E$89</definedName>
    <definedName name="TitleRegion1.A1.E88.1">'Direct Staffing'!$A$7:$E$87</definedName>
    <definedName name="Transportation">'Direct Staffing'!$A$26:$E$39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4" l="1"/>
  <c r="B95" i="4" s="1"/>
  <c r="B93" i="4" l="1"/>
  <c r="F70" i="4" l="1"/>
  <c r="H70" i="4" l="1"/>
  <c r="B7" i="9"/>
  <c r="B13" i="7" s="1"/>
  <c r="B5" i="9"/>
  <c r="F87" i="4"/>
  <c r="F86" i="4"/>
  <c r="F85" i="4"/>
  <c r="F84" i="4"/>
  <c r="F83" i="4"/>
  <c r="F82" i="4"/>
  <c r="F81" i="4"/>
  <c r="F80" i="4"/>
  <c r="F79" i="4"/>
  <c r="F78" i="4"/>
  <c r="F77" i="4"/>
  <c r="F76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1" i="4"/>
  <c r="F50" i="4"/>
  <c r="F49" i="4"/>
  <c r="F48" i="4"/>
  <c r="F47" i="4"/>
  <c r="F46" i="4"/>
  <c r="F45" i="4"/>
  <c r="F44" i="4"/>
  <c r="F43" i="4"/>
  <c r="F37" i="4"/>
  <c r="F36" i="4"/>
  <c r="F35" i="4"/>
  <c r="F34" i="4"/>
  <c r="F33" i="4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89" i="4"/>
  <c r="B90" i="4" s="1"/>
  <c r="B72" i="4"/>
  <c r="B53" i="4"/>
  <c r="B54" i="4" s="1"/>
  <c r="B39" i="4"/>
  <c r="B24" i="4"/>
  <c r="B71" i="4" l="1"/>
  <c r="B52" i="4"/>
  <c r="B88" i="4"/>
  <c r="B23" i="4"/>
  <c r="H9" i="4"/>
  <c r="H68" i="4"/>
  <c r="H45" i="4"/>
  <c r="H43" i="4"/>
  <c r="H16" i="4"/>
  <c r="H69" i="4"/>
  <c r="H46" i="4"/>
  <c r="H78" i="4"/>
  <c r="H60" i="4"/>
  <c r="H19" i="4"/>
  <c r="H17" i="4"/>
  <c r="H61" i="4"/>
  <c r="H33" i="4"/>
  <c r="H57" i="4"/>
  <c r="H8" i="4"/>
  <c r="H76" i="4"/>
  <c r="H12" i="4"/>
  <c r="H21" i="4"/>
  <c r="H44" i="4"/>
  <c r="H63" i="4"/>
  <c r="H36" i="4"/>
  <c r="H22" i="4"/>
  <c r="H87" i="4"/>
  <c r="H77" i="4"/>
  <c r="H86" i="4"/>
  <c r="H62" i="4"/>
  <c r="H20" i="4"/>
  <c r="H34" i="4"/>
  <c r="H83" i="4"/>
  <c r="H13" i="4"/>
  <c r="H18" i="4"/>
  <c r="H50" i="4"/>
  <c r="H28" i="4"/>
  <c r="H80" i="4"/>
  <c r="H58" i="4"/>
  <c r="H51" i="4"/>
  <c r="H47" i="4"/>
  <c r="H84" i="4"/>
  <c r="H48" i="4"/>
  <c r="H31" i="4"/>
  <c r="H65" i="4"/>
  <c r="H49" i="4"/>
  <c r="H35" i="4"/>
  <c r="H10" i="4"/>
  <c r="H14" i="4"/>
  <c r="H79" i="4"/>
  <c r="H85" i="4"/>
  <c r="H37" i="4"/>
  <c r="H15" i="4"/>
  <c r="H67" i="4"/>
  <c r="H32" i="4"/>
  <c r="H30" i="4"/>
  <c r="B7" i="7"/>
  <c r="H81" i="4"/>
  <c r="H66" i="4"/>
  <c r="H64" i="4"/>
  <c r="H29" i="4"/>
  <c r="H82" i="4"/>
  <c r="H59" i="4"/>
  <c r="H11" i="4"/>
  <c r="F89" i="4"/>
  <c r="B92" i="4" s="1"/>
  <c r="B4" i="7" s="1"/>
  <c r="B38" i="4"/>
  <c r="H89" i="4" l="1"/>
  <c r="B10" i="7" s="1"/>
  <c r="D13" i="7" s="1"/>
  <c r="D16" i="7" s="1"/>
  <c r="B16" i="7" s="1"/>
  <c r="B22" i="7" s="1"/>
  <c r="B19" i="7" l="1"/>
  <c r="B25" i="7"/>
  <c r="B28" i="7" s="1"/>
  <c r="B31" i="7" s="1"/>
  <c r="B34" i="7" s="1"/>
  <c r="B37" i="7" l="1"/>
  <c r="B40" i="7" s="1"/>
</calcChain>
</file>

<file path=xl/sharedStrings.xml><?xml version="1.0" encoding="utf-8"?>
<sst xmlns="http://schemas.openxmlformats.org/spreadsheetml/2006/main" count="598" uniqueCount="288">
  <si>
    <t>Direct Care Staffing:</t>
  </si>
  <si>
    <t xml:space="preserve">INDIVIDUAL STAFFING </t>
  </si>
  <si>
    <t>A</t>
  </si>
  <si>
    <t>B</t>
  </si>
  <si>
    <t>Select Case Mix</t>
  </si>
  <si>
    <t>C</t>
  </si>
  <si>
    <t>D</t>
  </si>
  <si>
    <t>Step 1. Add units for Meals, Home Management, Socialization</t>
  </si>
  <si>
    <t>E</t>
  </si>
  <si>
    <t>Sub Service</t>
  </si>
  <si>
    <t>Rate</t>
  </si>
  <si>
    <t>Unit</t>
  </si>
  <si>
    <t>Include in 110./&lt;3.62?</t>
  </si>
  <si>
    <t># units</t>
  </si>
  <si>
    <t>Straight Rate</t>
  </si>
  <si>
    <t>Include in 24 hour limit?</t>
  </si>
  <si>
    <t xml:space="preserve">Rate Calculation </t>
  </si>
  <si>
    <t>F</t>
  </si>
  <si>
    <t>Homemaking (this includes light or heavy housekeeping and/or personal or linens laundry)</t>
  </si>
  <si>
    <t>Hour</t>
  </si>
  <si>
    <t>Yes</t>
  </si>
  <si>
    <t>G</t>
  </si>
  <si>
    <t>Shopping</t>
  </si>
  <si>
    <t>K</t>
  </si>
  <si>
    <t>Individual Assistance w Meal Prep in Own Apartment</t>
  </si>
  <si>
    <t>L</t>
  </si>
  <si>
    <t>Congregate Meal Breakfast Prep</t>
  </si>
  <si>
    <t>Per Meal</t>
  </si>
  <si>
    <t>No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</si>
  <si>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</si>
  <si>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</si>
  <si>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</si>
  <si>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</si>
  <si>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</si>
  <si>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</si>
  <si>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</si>
  <si>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</si>
  <si>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</si>
  <si>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</si>
  <si>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</si>
  <si>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Total Meals, Home Management, Socialization Rate</t>
  </si>
  <si>
    <t>Total Meals, Home Management, Socialization units</t>
  </si>
  <si>
    <t>Step 2. Add units for Transportation</t>
  </si>
  <si>
    <t>Include in 110?</t>
  </si>
  <si>
    <t>Include in 24?</t>
  </si>
  <si>
    <t>Rate Calculation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</si>
  <si>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</si>
  <si>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</si>
  <si>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</si>
  <si>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</si>
  <si>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</si>
  <si>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</si>
  <si>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</si>
  <si>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</si>
  <si>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</si>
  <si>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</si>
  <si>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</si>
  <si>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Total Transportation Rate</t>
  </si>
  <si>
    <t>Total Transportation Units</t>
  </si>
  <si>
    <t>Step 3. Add units for ADL Assistance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</si>
  <si>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</si>
  <si>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</si>
  <si>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</si>
  <si>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</si>
  <si>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</si>
  <si>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</si>
  <si>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</si>
  <si>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</si>
  <si>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</si>
  <si>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Total ADL Assistance Rate</t>
  </si>
  <si>
    <t>Total ADL Assistance Units</t>
  </si>
  <si>
    <t>Step 4.  Add units for Health Related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</si>
  <si>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</si>
  <si>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</si>
  <si>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</si>
  <si>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</si>
  <si>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</si>
  <si>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</si>
  <si>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</si>
  <si>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</si>
  <si>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</si>
  <si>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</si>
  <si>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</si>
  <si>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</si>
  <si>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</si>
  <si>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</si>
  <si>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</si>
  <si>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Total Health Related Rate</t>
  </si>
  <si>
    <t>Total Health Related Units</t>
  </si>
  <si>
    <t>Step 5. Add units for Mental Health Management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</si>
  <si>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</si>
  <si>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</si>
  <si>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</si>
  <si>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</si>
  <si>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</si>
  <si>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</si>
  <si>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</si>
  <si>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</si>
  <si>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</si>
  <si>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</si>
  <si>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</si>
  <si>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</si>
  <si>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Total Mental Health Management Rate</t>
  </si>
  <si>
    <t>Total Mental Health Management Units</t>
  </si>
  <si>
    <t>Step 6.  Calculate Totals</t>
  </si>
  <si>
    <t>Total Rate</t>
  </si>
  <si>
    <t>Eligible Units - Disability Factor</t>
  </si>
  <si>
    <t>Eligible Units - 24 Hour Maximum</t>
  </si>
  <si>
    <t>H</t>
  </si>
  <si>
    <t>I</t>
  </si>
  <si>
    <t>J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</si>
  <si>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</si>
  <si>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</si>
  <si>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</si>
  <si>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</si>
  <si>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</si>
  <si>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</si>
  <si>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</si>
  <si>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</si>
  <si>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</si>
  <si>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</si>
  <si>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</si>
  <si>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</si>
  <si>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</si>
  <si>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</si>
  <si>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</si>
  <si>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</si>
  <si>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</si>
  <si>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</si>
  <si>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</si>
  <si>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</si>
  <si>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</si>
  <si>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</si>
  <si>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</si>
  <si>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</si>
  <si>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</si>
  <si>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</si>
  <si>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</si>
  <si>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</si>
  <si>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</si>
  <si>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</si>
  <si>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</si>
  <si>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</si>
  <si>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</si>
  <si>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</si>
  <si>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</si>
  <si>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</si>
  <si>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</si>
  <si>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</si>
  <si>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</si>
  <si>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</si>
  <si>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</si>
  <si>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</si>
  <si>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</si>
  <si>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</si>
  <si>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</si>
  <si>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</si>
  <si>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</si>
  <si>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</si>
  <si>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</si>
  <si>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</si>
  <si>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</si>
  <si>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</si>
  <si>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</si>
  <si>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</si>
  <si>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</si>
  <si>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</si>
  <si>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</si>
  <si>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</si>
  <si>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</si>
  <si>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</si>
  <si>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</si>
  <si>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</si>
  <si>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</si>
  <si>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</si>
  <si>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</si>
  <si>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</si>
  <si>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</si>
  <si>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</si>
  <si>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</si>
  <si>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</si>
  <si>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</si>
  <si>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</si>
  <si>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</si>
  <si>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</si>
  <si>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</si>
  <si>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</si>
  <si>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</si>
  <si>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</si>
  <si>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</si>
  <si>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</si>
  <si>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</si>
  <si>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</si>
  <si>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</si>
  <si>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</si>
  <si>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</si>
  <si>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</si>
  <si>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</si>
  <si>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</si>
  <si>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</si>
  <si>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</si>
  <si>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</si>
  <si>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</si>
  <si>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</si>
  <si>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</si>
  <si>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</si>
  <si>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</si>
  <si>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</si>
  <si>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</si>
  <si>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</si>
  <si>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</si>
  <si>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</si>
  <si>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</si>
  <si>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</si>
  <si>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</si>
  <si>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</si>
  <si>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</si>
  <si>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</si>
  <si>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</si>
  <si>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</si>
  <si>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</si>
  <si>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</si>
  <si>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</si>
  <si>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</si>
  <si>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</si>
  <si>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</si>
  <si>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</si>
  <si>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</si>
  <si>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</si>
  <si>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</si>
  <si>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FRAMEWORK FOR CUSTOMIZED LIVING</t>
  </si>
  <si>
    <t>Direct Staffing</t>
  </si>
  <si>
    <t>Direct Staffing Rate</t>
  </si>
  <si>
    <t>Eligible Units</t>
  </si>
  <si>
    <t>Number of  Eligible Units</t>
  </si>
  <si>
    <t>Disability Factor</t>
  </si>
  <si>
    <t>Disability Factor Amount</t>
  </si>
  <si>
    <t>Regional Variance</t>
  </si>
  <si>
    <t>Regional Variance Factor</t>
  </si>
  <si>
    <t>Unit Rate</t>
  </si>
  <si>
    <t>Unit Rate Amount</t>
  </si>
  <si>
    <t>Budget Neutrality Factor</t>
  </si>
  <si>
    <t>Unit Budget Neutrality</t>
  </si>
  <si>
    <t>Final Unit Rate</t>
  </si>
  <si>
    <t>Original Total Unit Rate</t>
  </si>
  <si>
    <t>4/1/2014 COLA</t>
  </si>
  <si>
    <t>Cost of Living Adjustment</t>
  </si>
  <si>
    <t>Post 4/1/14 COLA Rate</t>
  </si>
  <si>
    <t>Post COLA Rate</t>
  </si>
  <si>
    <t>7/1/14 COLA</t>
  </si>
  <si>
    <t>Post 7/1/14 COLA Rate</t>
  </si>
  <si>
    <t>7/1/15 COLA</t>
  </si>
  <si>
    <t>Post 7/1/15 COLA Rate</t>
  </si>
  <si>
    <t>Implementation Version</t>
  </si>
  <si>
    <t>Version 1</t>
  </si>
  <si>
    <t>Accessibility headers</t>
  </si>
  <si>
    <t>Updated formula for disability factor from using units of 110 to day unit of 3.62</t>
  </si>
  <si>
    <t>Updated unit cell to display up to two decimal places</t>
  </si>
  <si>
    <t>Updated to reflect 4/1/2014 1% COLA Increase</t>
  </si>
  <si>
    <t>Version 2</t>
  </si>
  <si>
    <t>Updated to reflect 7/1/2014 5% COLA Increase</t>
  </si>
  <si>
    <t>Version 3</t>
  </si>
  <si>
    <t>7/1/15 COLA 1 % added</t>
  </si>
  <si>
    <t>Version 4</t>
  </si>
  <si>
    <t>COLAs Removed, set sub components to match aging's 2019 values</t>
  </si>
  <si>
    <t>Version 10</t>
  </si>
  <si>
    <t>Hidden Budget Neutrality Factor</t>
  </si>
  <si>
    <t>Version 11</t>
  </si>
  <si>
    <t>No change</t>
  </si>
  <si>
    <t>Version 12</t>
  </si>
  <si>
    <t>Removed Equal sign of Disability factor. Now the disability factor will apply only if less than 3.62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</si>
  <si>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</si>
  <si>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</si>
  <si>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</si>
  <si>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</si>
  <si>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RVF updates</t>
  </si>
  <si>
    <t>Version 16</t>
  </si>
  <si>
    <t>Mileage Rate changes(per mile only)</t>
  </si>
  <si>
    <t>Version 17</t>
  </si>
  <si>
    <t>Changes to Direct Staffing, Transportation,Client Programming</t>
  </si>
  <si>
    <t>Version 18</t>
  </si>
  <si>
    <t>Change to 1:1 Mileage</t>
  </si>
  <si>
    <t>Version 19</t>
  </si>
  <si>
    <t>combined housekeeping and laundry</t>
  </si>
  <si>
    <t>Correction to add missing case mix selections; update mileage 1:1</t>
  </si>
  <si>
    <t>Version 20</t>
  </si>
  <si>
    <t>fixed rounding error</t>
  </si>
  <si>
    <t xml:space="preserve">Version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</si>
</sst>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0" fontId="0" fillId="7" borderId="1" xfId="0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1"/>
  <sheetViews>
    <sheetView showGridLines="0" tabSelected="1" zoomScale="93" zoomScaleNormal="93" workbookViewId="0">
      <selection activeCell="B4" sqref="B4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customWidth="1"/>
    <col min="5" max="5" width="9.140625" style="52"/>
    <col min="6" max="7" width="9.5703125" style="3" hidden="1" customWidth="1"/>
    <col min="8" max="8" width="37.85546875" style="3" hidden="1" customWidth="1"/>
    <col min="9" max="10" width="9.140625" style="3"/>
    <col min="11" max="11" width="0" style="3" hidden="1" customWidth="1"/>
    <col min="12" max="13" width="9.140625" style="3" hidden="1" customWidth="1"/>
    <col min="14" max="14" width="0" style="3" hidden="1" customWidth="1"/>
    <col min="15" max="16384" width="9.140625" style="3"/>
  </cols>
  <sheetData>
    <row r="1" spans="1:13" ht="15.75" x14ac:dyDescent="0.25">
      <c r="A1" s="31" t="s">
        <v>0</v>
      </c>
    </row>
    <row r="2" spans="1:13" x14ac:dyDescent="0.25">
      <c r="A2" s="32" t="s">
        <v>1</v>
      </c>
      <c r="M2" s="3" t="s">
        <v>2</v>
      </c>
    </row>
    <row r="3" spans="1:13" x14ac:dyDescent="0.25">
      <c r="A3" s="32"/>
      <c r="M3" s="3" t="s">
        <v>3</v>
      </c>
    </row>
    <row r="4" spans="1:13" x14ac:dyDescent="0.25">
      <c r="A4" s="78" t="s">
        <v>4</v>
      </c>
      <c r="B4" s="79" t="s">
        <v>2</v>
      </c>
      <c r="M4" s="3" t="s">
        <v>5</v>
      </c>
    </row>
    <row r="5" spans="1:13" x14ac:dyDescent="0.25">
      <c r="A5" s="33"/>
      <c r="M5" s="3" t="s">
        <v>6</v>
      </c>
    </row>
    <row r="6" spans="1:13" x14ac:dyDescent="0.25">
      <c r="A6" s="35" t="s">
        <v>7</v>
      </c>
      <c r="B6" s="37"/>
      <c r="C6" s="36"/>
      <c r="D6" s="36"/>
      <c r="E6" s="53"/>
      <c r="M6" s="3" t="s">
        <v>8</v>
      </c>
    </row>
    <row r="7" spans="1:13" s="10" customFormat="1" ht="60" x14ac:dyDescent="0.25">
      <c r="A7" s="15" t="s">
        <v>9</v>
      </c>
      <c r="B7" s="16" t="s">
        <v>10</v>
      </c>
      <c r="C7" s="15" t="s">
        <v>11</v>
      </c>
      <c r="D7" s="15" t="s">
        <v>12</v>
      </c>
      <c r="E7" s="54" t="s">
        <v>13</v>
      </c>
      <c r="F7" s="14" t="s">
        <v>14</v>
      </c>
      <c r="G7" s="15" t="s">
        <v>15</v>
      </c>
      <c r="H7" s="9" t="s">
        <v>16</v>
      </c>
      <c r="M7" s="10" t="s">
        <v>17</v>
      </c>
    </row>
    <row r="8" spans="1:13" ht="30" x14ac:dyDescent="0.25">
      <c r="A8" s="17" t="s">
        <v>18</v>
      </c>
      <c r="B8" s="18">
        <v>21.74</v>
      </c>
      <c r="C8" s="17" t="s">
        <v>19</v>
      </c>
      <c r="D8" s="4" t="s">
        <v>20</v>
      </c>
      <c r="E8" s="55"/>
      <c r="F8" s="7">
        <f t="shared" ref="F8:F22" si="0">ROUND(B8*E8,2)</f>
        <v>0</v>
      </c>
      <c r="G8" s="4" t="s">
        <v>20</v>
      </c>
      <c r="H8" s="8">
        <f t="shared" ref="H8:H22" si="1">ROUND(IF(AND($B$93&lt;3.62,D8="Yes"),(ROUND(B8+(B8*DisabilityFactor),2))*E8,B8*E8),2)</f>
        <v>0</v>
      </c>
      <c r="M8" s="3" t="s">
        <v>21</v>
      </c>
    </row>
    <row r="9" spans="1:13" x14ac:dyDescent="0.25">
      <c r="A9" s="17" t="s">
        <v>22</v>
      </c>
      <c r="B9" s="18">
        <v>21.74</v>
      </c>
      <c r="C9" s="17" t="s">
        <v>19</v>
      </c>
      <c r="D9" s="4" t="s">
        <v>20</v>
      </c>
      <c r="E9" s="55"/>
      <c r="F9" s="7">
        <f t="shared" si="0"/>
        <v>0</v>
      </c>
      <c r="G9" s="4" t="s">
        <v>20</v>
      </c>
      <c r="H9" s="8">
        <f t="shared" si="1"/>
        <v>0</v>
      </c>
      <c r="M9" s="3" t="s">
        <v>23</v>
      </c>
    </row>
    <row r="10" spans="1:13" ht="30" x14ac:dyDescent="0.25">
      <c r="A10" s="17" t="s">
        <v>24</v>
      </c>
      <c r="B10" s="18">
        <v>21.74</v>
      </c>
      <c r="C10" s="17" t="s">
        <v>19</v>
      </c>
      <c r="D10" s="4" t="s">
        <v>20</v>
      </c>
      <c r="E10" s="55"/>
      <c r="F10" s="7">
        <f t="shared" si="0"/>
        <v>0</v>
      </c>
      <c r="G10" s="4" t="s">
        <v>20</v>
      </c>
      <c r="H10" s="8">
        <f t="shared" si="1"/>
        <v>0</v>
      </c>
      <c r="M10" s="3" t="s">
        <v>25</v>
      </c>
    </row>
    <row r="11" spans="1:13" x14ac:dyDescent="0.25">
      <c r="A11" s="17" t="s">
        <v>26</v>
      </c>
      <c r="B11" s="18">
        <v>4.47</v>
      </c>
      <c r="C11" s="17" t="s">
        <v>27</v>
      </c>
      <c r="D11" s="4" t="s">
        <v>28</v>
      </c>
      <c r="E11" s="55"/>
      <c r="F11" s="7">
        <f t="shared" si="0"/>
        <v>0</v>
      </c>
      <c r="G11" s="4" t="s">
        <v>28</v>
      </c>
      <c r="H11" s="8">
        <f t="shared" si="1"/>
        <v>0</v>
      </c>
    </row>
    <row r="12" spans="1:13" x14ac:dyDescent="0.25">
      <c r="A12" s="17" t="s">
        <v>29</v>
      </c>
      <c r="B12" s="18">
        <v>5.58</v>
      </c>
      <c r="C12" s="17" t="s">
        <v>27</v>
      </c>
      <c r="D12" s="4" t="s">
        <v>28</v>
      </c>
      <c r="E12" s="55"/>
      <c r="F12" s="7">
        <f t="shared" si="0"/>
        <v>0</v>
      </c>
      <c r="G12" s="4" t="s">
        <v>28</v>
      </c>
      <c r="H12" s="8">
        <f t="shared" si="1"/>
        <v>0</v>
      </c>
    </row>
    <row r="13" spans="1:13" x14ac:dyDescent="0.25">
      <c r="A13" s="17" t="s">
        <v>30</v>
      </c>
      <c r="B13" s="18">
        <v>5.58</v>
      </c>
      <c r="C13" s="17" t="s">
        <v>27</v>
      </c>
      <c r="D13" s="4" t="s">
        <v>28</v>
      </c>
      <c r="E13" s="55"/>
      <c r="F13" s="7">
        <f t="shared" si="0"/>
        <v>0</v>
      </c>
      <c r="G13" s="4" t="s">
        <v>28</v>
      </c>
      <c r="H13" s="8">
        <f t="shared" si="1"/>
        <v>0</v>
      </c>
    </row>
    <row r="14" spans="1:13" x14ac:dyDescent="0.25">
      <c r="A14" s="17" t="s">
        <v>31</v>
      </c>
      <c r="B14" s="18">
        <v>0.55000000000000004</v>
      </c>
      <c r="C14" s="17" t="s">
        <v>27</v>
      </c>
      <c r="D14" s="4" t="s">
        <v>28</v>
      </c>
      <c r="E14" s="55"/>
      <c r="F14" s="7">
        <f t="shared" si="0"/>
        <v>0</v>
      </c>
      <c r="G14" s="4" t="s">
        <v>28</v>
      </c>
      <c r="H14" s="8">
        <f t="shared" si="1"/>
        <v>0</v>
      </c>
    </row>
    <row r="15" spans="1:13" x14ac:dyDescent="0.25">
      <c r="A15" s="17" t="s">
        <v>32</v>
      </c>
      <c r="B15" s="18">
        <v>21.74</v>
      </c>
      <c r="C15" s="17" t="s">
        <v>19</v>
      </c>
      <c r="D15" s="4" t="s">
        <v>20</v>
      </c>
      <c r="E15" s="55"/>
      <c r="F15" s="7">
        <f t="shared" si="0"/>
        <v>0</v>
      </c>
      <c r="G15" s="4" t="s">
        <v>20</v>
      </c>
      <c r="H15" s="8">
        <f t="shared" si="1"/>
        <v>0</v>
      </c>
    </row>
    <row r="16" spans="1:13" x14ac:dyDescent="0.25">
      <c r="A16" s="17" t="s">
        <v>33</v>
      </c>
      <c r="B16" s="18">
        <v>21.74</v>
      </c>
      <c r="C16" s="17" t="s">
        <v>19</v>
      </c>
      <c r="D16" s="4" t="s">
        <v>20</v>
      </c>
      <c r="E16" s="55"/>
      <c r="F16" s="7">
        <f t="shared" si="0"/>
        <v>0</v>
      </c>
      <c r="G16" s="4" t="s">
        <v>20</v>
      </c>
      <c r="H16" s="8">
        <f t="shared" si="1"/>
        <v>0</v>
      </c>
    </row>
    <row r="17" spans="1:8" x14ac:dyDescent="0.25">
      <c r="A17" s="17" t="s">
        <v>34</v>
      </c>
      <c r="B17" s="18">
        <v>21.74</v>
      </c>
      <c r="C17" s="17" t="s">
        <v>19</v>
      </c>
      <c r="D17" s="4" t="s">
        <v>20</v>
      </c>
      <c r="E17" s="55"/>
      <c r="F17" s="7">
        <f t="shared" si="0"/>
        <v>0</v>
      </c>
      <c r="G17" s="4" t="s">
        <v>20</v>
      </c>
      <c r="H17" s="8">
        <f t="shared" si="1"/>
        <v>0</v>
      </c>
    </row>
    <row r="18" spans="1:8" x14ac:dyDescent="0.25">
      <c r="A18" s="17" t="s">
        <v>35</v>
      </c>
      <c r="B18" s="18">
        <v>21.74</v>
      </c>
      <c r="C18" s="17" t="s">
        <v>19</v>
      </c>
      <c r="D18" s="4" t="s">
        <v>20</v>
      </c>
      <c r="E18" s="55"/>
      <c r="F18" s="7">
        <f t="shared" si="0"/>
        <v>0</v>
      </c>
      <c r="G18" s="4" t="s">
        <v>20</v>
      </c>
      <c r="H18" s="8">
        <f t="shared" si="1"/>
        <v>0</v>
      </c>
    </row>
    <row r="19" spans="1:8" x14ac:dyDescent="0.25">
      <c r="A19" s="17" t="s">
        <v>36</v>
      </c>
      <c r="B19" s="18">
        <v>6.21</v>
      </c>
      <c r="C19" s="17" t="s">
        <v>19</v>
      </c>
      <c r="D19" s="4" t="s">
        <v>20</v>
      </c>
      <c r="E19" s="55"/>
      <c r="F19" s="7">
        <f t="shared" si="0"/>
        <v>0</v>
      </c>
      <c r="G19" s="4" t="s">
        <v>20</v>
      </c>
      <c r="H19" s="8">
        <f t="shared" si="1"/>
        <v>0</v>
      </c>
    </row>
    <row r="20" spans="1:8" x14ac:dyDescent="0.25">
      <c r="A20" s="17" t="s">
        <v>37</v>
      </c>
      <c r="B20" s="18">
        <v>2.41</v>
      </c>
      <c r="C20" s="17" t="s">
        <v>19</v>
      </c>
      <c r="D20" s="4" t="s">
        <v>20</v>
      </c>
      <c r="E20" s="55"/>
      <c r="F20" s="7">
        <f t="shared" si="0"/>
        <v>0</v>
      </c>
      <c r="G20" s="4" t="s">
        <v>20</v>
      </c>
      <c r="H20" s="8">
        <f t="shared" si="1"/>
        <v>0</v>
      </c>
    </row>
    <row r="21" spans="1:8" x14ac:dyDescent="0.25">
      <c r="A21" s="17" t="s">
        <v>38</v>
      </c>
      <c r="B21" s="18">
        <v>1.33</v>
      </c>
      <c r="C21" s="17" t="s">
        <v>19</v>
      </c>
      <c r="D21" s="4" t="s">
        <v>20</v>
      </c>
      <c r="E21" s="55"/>
      <c r="F21" s="7">
        <f t="shared" si="0"/>
        <v>0</v>
      </c>
      <c r="G21" s="4" t="s">
        <v>20</v>
      </c>
      <c r="H21" s="8">
        <f t="shared" si="1"/>
        <v>0</v>
      </c>
    </row>
    <row r="22" spans="1:8" x14ac:dyDescent="0.25">
      <c r="A22" s="17" t="s">
        <v>39</v>
      </c>
      <c r="B22" s="18">
        <v>0.72</v>
      </c>
      <c r="C22" s="17" t="s">
        <v>19</v>
      </c>
      <c r="D22" s="4" t="s">
        <v>20</v>
      </c>
      <c r="E22" s="55"/>
      <c r="F22" s="7">
        <f t="shared" si="0"/>
        <v>0</v>
      </c>
      <c r="G22" s="4" t="s">
        <v>20</v>
      </c>
      <c r="H22" s="8">
        <f t="shared" si="1"/>
        <v>0</v>
      </c>
    </row>
    <row r="23" spans="1:8" ht="16.5" customHeight="1" x14ac:dyDescent="0.25">
      <c r="A23" s="38" t="s">
        <v>40</v>
      </c>
      <c r="B23" s="85">
        <f>SUM(F8:F22)</f>
        <v>0</v>
      </c>
      <c r="C23" s="86"/>
      <c r="D23" s="86"/>
      <c r="E23" s="87"/>
      <c r="F23" s="7"/>
      <c r="G23" s="7"/>
      <c r="H23" s="8"/>
    </row>
    <row r="24" spans="1:8" x14ac:dyDescent="0.25">
      <c r="A24" s="19" t="s">
        <v>41</v>
      </c>
      <c r="B24" s="93">
        <f>SUM(E8:E22)</f>
        <v>0</v>
      </c>
      <c r="C24" s="86"/>
      <c r="D24" s="86"/>
      <c r="E24" s="87"/>
      <c r="F24" s="7"/>
      <c r="G24" s="7"/>
      <c r="H24" s="8"/>
    </row>
    <row r="25" spans="1:8" x14ac:dyDescent="0.25">
      <c r="A25" s="11"/>
      <c r="B25" s="12"/>
      <c r="C25" s="11"/>
      <c r="F25" s="7"/>
      <c r="G25" s="7"/>
      <c r="H25" s="8"/>
    </row>
    <row r="26" spans="1:8" x14ac:dyDescent="0.25">
      <c r="A26" s="34" t="s">
        <v>42</v>
      </c>
      <c r="B26" s="12"/>
      <c r="C26" s="11"/>
      <c r="F26" s="7"/>
      <c r="G26" s="7"/>
      <c r="H26" s="8"/>
    </row>
    <row r="27" spans="1:8" s="10" customFormat="1" ht="30" x14ac:dyDescent="0.25">
      <c r="A27" s="15" t="s">
        <v>9</v>
      </c>
      <c r="B27" s="16" t="s">
        <v>10</v>
      </c>
      <c r="C27" s="15" t="s">
        <v>11</v>
      </c>
      <c r="D27" s="15" t="s">
        <v>43</v>
      </c>
      <c r="E27" s="54" t="s">
        <v>13</v>
      </c>
      <c r="F27" s="14" t="s">
        <v>14</v>
      </c>
      <c r="G27" s="15" t="s">
        <v>44</v>
      </c>
      <c r="H27" s="9" t="s">
        <v>45</v>
      </c>
    </row>
    <row r="28" spans="1:8" x14ac:dyDescent="0.25">
      <c r="A28" s="17" t="s">
        <v>46</v>
      </c>
      <c r="B28" s="18">
        <v>21.74</v>
      </c>
      <c r="C28" s="17" t="s">
        <v>19</v>
      </c>
      <c r="D28" s="4" t="s">
        <v>20</v>
      </c>
      <c r="E28" s="56"/>
      <c r="F28" s="7">
        <f t="shared" ref="F28:F37" si="2">ROUND(B28*E28,2)</f>
        <v>0</v>
      </c>
      <c r="G28" s="4" t="s">
        <v>28</v>
      </c>
      <c r="H28" s="8">
        <f t="shared" ref="H28:H37" si="3">ROUND(IF(AND($B$93&lt;3.62,D28="Yes"),(ROUND(B28+(B28*DisabilityFactor),2))*E28,B28*E28),2)</f>
        <v>0</v>
      </c>
    </row>
    <row r="29" spans="1:8" x14ac:dyDescent="0.25">
      <c r="A29" s="17" t="s">
        <v>47</v>
      </c>
      <c r="B29" s="18">
        <v>10.87</v>
      </c>
      <c r="C29" s="17" t="s">
        <v>19</v>
      </c>
      <c r="D29" s="4" t="s">
        <v>20</v>
      </c>
      <c r="E29" s="56"/>
      <c r="F29" s="7">
        <f t="shared" si="2"/>
        <v>0</v>
      </c>
      <c r="G29" s="4" t="s">
        <v>28</v>
      </c>
      <c r="H29" s="8">
        <f t="shared" si="3"/>
        <v>0</v>
      </c>
    </row>
    <row r="30" spans="1:8" x14ac:dyDescent="0.25">
      <c r="A30" s="17" t="s">
        <v>48</v>
      </c>
      <c r="B30" s="18">
        <v>5.44</v>
      </c>
      <c r="C30" s="17" t="s">
        <v>19</v>
      </c>
      <c r="D30" s="4" t="s">
        <v>20</v>
      </c>
      <c r="E30" s="56"/>
      <c r="F30" s="7">
        <f t="shared" si="2"/>
        <v>0</v>
      </c>
      <c r="G30" s="4" t="s">
        <v>28</v>
      </c>
      <c r="H30" s="8">
        <f t="shared" si="3"/>
        <v>0</v>
      </c>
    </row>
    <row r="31" spans="1:8" x14ac:dyDescent="0.25">
      <c r="A31" s="17" t="s">
        <v>49</v>
      </c>
      <c r="B31" s="18">
        <v>2.72</v>
      </c>
      <c r="C31" s="17" t="s">
        <v>19</v>
      </c>
      <c r="D31" s="4" t="s">
        <v>20</v>
      </c>
      <c r="E31" s="56"/>
      <c r="F31" s="7">
        <f t="shared" si="2"/>
        <v>0</v>
      </c>
      <c r="G31" s="4" t="s">
        <v>28</v>
      </c>
      <c r="H31" s="8">
        <f t="shared" si="3"/>
        <v>0</v>
      </c>
    </row>
    <row r="32" spans="1:8" ht="30" x14ac:dyDescent="0.25">
      <c r="A32" s="17" t="s">
        <v>50</v>
      </c>
      <c r="B32" s="18">
        <v>1.45</v>
      </c>
      <c r="C32" s="17" t="s">
        <v>19</v>
      </c>
      <c r="D32" s="4" t="s">
        <v>20</v>
      </c>
      <c r="E32" s="56"/>
      <c r="F32" s="7">
        <f t="shared" si="2"/>
        <v>0</v>
      </c>
      <c r="G32" s="4" t="s">
        <v>28</v>
      </c>
      <c r="H32" s="8">
        <f t="shared" si="3"/>
        <v>0</v>
      </c>
    </row>
    <row r="33" spans="1:8" x14ac:dyDescent="0.25">
      <c r="A33" s="17" t="s">
        <v>51</v>
      </c>
      <c r="B33" s="18">
        <v>0.7</v>
      </c>
      <c r="C33" s="17" t="s">
        <v>52</v>
      </c>
      <c r="D33" s="4" t="s">
        <v>28</v>
      </c>
      <c r="E33" s="56"/>
      <c r="F33" s="7">
        <f t="shared" si="2"/>
        <v>0</v>
      </c>
      <c r="G33" s="4" t="s">
        <v>28</v>
      </c>
      <c r="H33" s="8">
        <f t="shared" si="3"/>
        <v>0</v>
      </c>
    </row>
    <row r="34" spans="1:8" ht="30" x14ac:dyDescent="0.25">
      <c r="A34" s="17" t="s">
        <v>53</v>
      </c>
      <c r="B34" s="18">
        <v>0.35</v>
      </c>
      <c r="C34" s="17" t="s">
        <v>52</v>
      </c>
      <c r="D34" s="4" t="s">
        <v>28</v>
      </c>
      <c r="E34" s="56"/>
      <c r="F34" s="7">
        <f t="shared" si="2"/>
        <v>0</v>
      </c>
      <c r="G34" s="4" t="s">
        <v>28</v>
      </c>
      <c r="H34" s="8">
        <f t="shared" si="3"/>
        <v>0</v>
      </c>
    </row>
    <row r="35" spans="1:8" ht="30" x14ac:dyDescent="0.25">
      <c r="A35" s="17" t="s">
        <v>54</v>
      </c>
      <c r="B35" s="18">
        <v>0.22</v>
      </c>
      <c r="C35" s="17" t="s">
        <v>52</v>
      </c>
      <c r="D35" s="4" t="s">
        <v>28</v>
      </c>
      <c r="E35" s="56"/>
      <c r="F35" s="7">
        <f t="shared" si="2"/>
        <v>0</v>
      </c>
      <c r="G35" s="4" t="s">
        <v>28</v>
      </c>
      <c r="H35" s="8">
        <f t="shared" si="3"/>
        <v>0</v>
      </c>
    </row>
    <row r="36" spans="1:8" ht="30" x14ac:dyDescent="0.25">
      <c r="A36" s="17" t="s">
        <v>55</v>
      </c>
      <c r="B36" s="18">
        <v>0.12</v>
      </c>
      <c r="C36" s="17" t="s">
        <v>52</v>
      </c>
      <c r="D36" s="4" t="s">
        <v>28</v>
      </c>
      <c r="E36" s="56"/>
      <c r="F36" s="7">
        <f t="shared" si="2"/>
        <v>0</v>
      </c>
      <c r="G36" s="4" t="s">
        <v>28</v>
      </c>
      <c r="H36" s="8">
        <f t="shared" si="3"/>
        <v>0</v>
      </c>
    </row>
    <row r="37" spans="1:8" ht="30" x14ac:dyDescent="0.25">
      <c r="A37" s="17" t="s">
        <v>56</v>
      </c>
      <c r="B37" s="18">
        <v>7.0000000000000007E-2</v>
      </c>
      <c r="C37" s="17" t="s">
        <v>52</v>
      </c>
      <c r="D37" s="4" t="s">
        <v>28</v>
      </c>
      <c r="E37" s="56"/>
      <c r="F37" s="7">
        <f t="shared" si="2"/>
        <v>0</v>
      </c>
      <c r="G37" s="4" t="s">
        <v>28</v>
      </c>
      <c r="H37" s="8">
        <f t="shared" si="3"/>
        <v>0</v>
      </c>
    </row>
    <row r="38" spans="1:8" x14ac:dyDescent="0.25">
      <c r="A38" s="19" t="s">
        <v>57</v>
      </c>
      <c r="B38" s="85">
        <f>SUM(F28:F37)</f>
        <v>0</v>
      </c>
      <c r="C38" s="86"/>
      <c r="D38" s="86"/>
      <c r="E38" s="87"/>
      <c r="F38" s="7"/>
      <c r="G38" s="7"/>
      <c r="H38" s="8"/>
    </row>
    <row r="39" spans="1:8" x14ac:dyDescent="0.25">
      <c r="A39" s="19" t="s">
        <v>58</v>
      </c>
      <c r="B39" s="93">
        <f>SUM(E28:E37)</f>
        <v>0</v>
      </c>
      <c r="C39" s="86"/>
      <c r="D39" s="86"/>
      <c r="E39" s="87"/>
      <c r="F39" s="7"/>
      <c r="G39" s="7"/>
      <c r="H39" s="8"/>
    </row>
    <row r="40" spans="1:8" x14ac:dyDescent="0.25">
      <c r="A40" s="11"/>
      <c r="B40" s="12"/>
      <c r="C40" s="11"/>
      <c r="F40" s="7"/>
      <c r="G40" s="7"/>
      <c r="H40" s="8"/>
    </row>
    <row r="41" spans="1:8" x14ac:dyDescent="0.25">
      <c r="A41" s="34" t="s">
        <v>59</v>
      </c>
      <c r="B41" s="12"/>
      <c r="C41" s="11"/>
      <c r="F41" s="7"/>
      <c r="G41" s="7"/>
      <c r="H41" s="8"/>
    </row>
    <row r="42" spans="1:8" s="10" customFormat="1" ht="30" x14ac:dyDescent="0.25">
      <c r="A42" s="15" t="s">
        <v>9</v>
      </c>
      <c r="B42" s="16" t="s">
        <v>10</v>
      </c>
      <c r="C42" s="15" t="s">
        <v>11</v>
      </c>
      <c r="D42" s="15" t="s">
        <v>43</v>
      </c>
      <c r="E42" s="54" t="s">
        <v>13</v>
      </c>
      <c r="F42" s="14" t="s">
        <v>14</v>
      </c>
      <c r="G42" s="15" t="s">
        <v>44</v>
      </c>
      <c r="H42" s="9" t="s">
        <v>45</v>
      </c>
    </row>
    <row r="43" spans="1:8" x14ac:dyDescent="0.25">
      <c r="A43" s="17" t="s">
        <v>60</v>
      </c>
      <c r="B43" s="18">
        <v>26.09</v>
      </c>
      <c r="C43" s="17" t="s">
        <v>19</v>
      </c>
      <c r="D43" s="4" t="s">
        <v>20</v>
      </c>
      <c r="E43" s="56"/>
      <c r="F43" s="7">
        <f t="shared" ref="F43:F51" si="4">ROUND(B43*E43,2)</f>
        <v>0</v>
      </c>
      <c r="G43" s="4" t="s">
        <v>20</v>
      </c>
      <c r="H43" s="8">
        <f t="shared" ref="H43:H51" si="5">ROUND(IF(AND($B$93&lt;3.62,D43="Yes"),(ROUND(B43+(B43*DisabilityFactor),2))*E43,B43*E43),2)</f>
        <v>0</v>
      </c>
    </row>
    <row r="44" spans="1:8" x14ac:dyDescent="0.25">
      <c r="A44" s="17" t="s">
        <v>61</v>
      </c>
      <c r="B44" s="18">
        <v>26.09</v>
      </c>
      <c r="C44" s="17" t="s">
        <v>19</v>
      </c>
      <c r="D44" s="4" t="s">
        <v>20</v>
      </c>
      <c r="E44" s="56"/>
      <c r="F44" s="7">
        <f t="shared" si="4"/>
        <v>0</v>
      </c>
      <c r="G44" s="4" t="s">
        <v>20</v>
      </c>
      <c r="H44" s="8">
        <f t="shared" si="5"/>
        <v>0</v>
      </c>
    </row>
    <row r="45" spans="1:8" x14ac:dyDescent="0.25">
      <c r="A45" s="17" t="s">
        <v>62</v>
      </c>
      <c r="B45" s="18">
        <v>26.09</v>
      </c>
      <c r="C45" s="17" t="s">
        <v>19</v>
      </c>
      <c r="D45" s="4" t="s">
        <v>20</v>
      </c>
      <c r="E45" s="56"/>
      <c r="F45" s="7">
        <f t="shared" si="4"/>
        <v>0</v>
      </c>
      <c r="G45" s="4" t="s">
        <v>20</v>
      </c>
      <c r="H45" s="8">
        <f t="shared" si="5"/>
        <v>0</v>
      </c>
    </row>
    <row r="46" spans="1:8" x14ac:dyDescent="0.25">
      <c r="A46" s="17" t="s">
        <v>63</v>
      </c>
      <c r="B46" s="18">
        <v>28.81</v>
      </c>
      <c r="C46" s="17" t="s">
        <v>19</v>
      </c>
      <c r="D46" s="4" t="s">
        <v>20</v>
      </c>
      <c r="E46" s="56"/>
      <c r="F46" s="7">
        <f t="shared" si="4"/>
        <v>0</v>
      </c>
      <c r="G46" s="4" t="s">
        <v>20</v>
      </c>
      <c r="H46" s="8">
        <f t="shared" si="5"/>
        <v>0</v>
      </c>
    </row>
    <row r="47" spans="1:8" x14ac:dyDescent="0.25">
      <c r="A47" s="17" t="s">
        <v>64</v>
      </c>
      <c r="B47" s="18">
        <v>28.81</v>
      </c>
      <c r="C47" s="17" t="s">
        <v>19</v>
      </c>
      <c r="D47" s="4" t="s">
        <v>20</v>
      </c>
      <c r="E47" s="56"/>
      <c r="F47" s="7">
        <f t="shared" si="4"/>
        <v>0</v>
      </c>
      <c r="G47" s="4" t="s">
        <v>20</v>
      </c>
      <c r="H47" s="8">
        <f t="shared" si="5"/>
        <v>0</v>
      </c>
    </row>
    <row r="48" spans="1:8" x14ac:dyDescent="0.25">
      <c r="A48" s="17" t="s">
        <v>65</v>
      </c>
      <c r="B48" s="18">
        <v>28.81</v>
      </c>
      <c r="C48" s="17" t="s">
        <v>19</v>
      </c>
      <c r="D48" s="4" t="s">
        <v>20</v>
      </c>
      <c r="E48" s="56"/>
      <c r="F48" s="7">
        <f t="shared" si="4"/>
        <v>0</v>
      </c>
      <c r="G48" s="4" t="s">
        <v>20</v>
      </c>
      <c r="H48" s="8">
        <f t="shared" si="5"/>
        <v>0</v>
      </c>
    </row>
    <row r="49" spans="1:8" x14ac:dyDescent="0.25">
      <c r="A49" s="17" t="s">
        <v>66</v>
      </c>
      <c r="B49" s="18">
        <v>26.09</v>
      </c>
      <c r="C49" s="17" t="s">
        <v>19</v>
      </c>
      <c r="D49" s="4" t="s">
        <v>20</v>
      </c>
      <c r="E49" s="56"/>
      <c r="F49" s="7">
        <f t="shared" si="4"/>
        <v>0</v>
      </c>
      <c r="G49" s="4" t="s">
        <v>20</v>
      </c>
      <c r="H49" s="8">
        <f t="shared" si="5"/>
        <v>0</v>
      </c>
    </row>
    <row r="50" spans="1:8" x14ac:dyDescent="0.25">
      <c r="A50" s="17" t="s">
        <v>67</v>
      </c>
      <c r="B50" s="18">
        <v>26.09</v>
      </c>
      <c r="C50" s="17" t="s">
        <v>19</v>
      </c>
      <c r="D50" s="4" t="s">
        <v>20</v>
      </c>
      <c r="E50" s="56"/>
      <c r="F50" s="7">
        <f t="shared" si="4"/>
        <v>0</v>
      </c>
      <c r="G50" s="4" t="s">
        <v>20</v>
      </c>
      <c r="H50" s="8">
        <f t="shared" si="5"/>
        <v>0</v>
      </c>
    </row>
    <row r="51" spans="1:8" x14ac:dyDescent="0.25">
      <c r="A51" s="17" t="s">
        <v>68</v>
      </c>
      <c r="B51" s="18">
        <v>28.81</v>
      </c>
      <c r="C51" s="17" t="s">
        <v>19</v>
      </c>
      <c r="D51" s="4" t="s">
        <v>20</v>
      </c>
      <c r="E51" s="56"/>
      <c r="F51" s="7">
        <f t="shared" si="4"/>
        <v>0</v>
      </c>
      <c r="G51" s="4" t="s">
        <v>20</v>
      </c>
      <c r="H51" s="8">
        <f t="shared" si="5"/>
        <v>0</v>
      </c>
    </row>
    <row r="52" spans="1:8" x14ac:dyDescent="0.25">
      <c r="A52" s="19" t="s">
        <v>69</v>
      </c>
      <c r="B52" s="85">
        <f>SUM(F43:F51)</f>
        <v>0</v>
      </c>
      <c r="C52" s="86"/>
      <c r="D52" s="86"/>
      <c r="E52" s="87"/>
      <c r="F52" s="7"/>
      <c r="G52" s="7"/>
      <c r="H52" s="8"/>
    </row>
    <row r="53" spans="1:8" x14ac:dyDescent="0.25">
      <c r="A53" s="19" t="s">
        <v>70</v>
      </c>
      <c r="B53" s="93">
        <f>SUM(E43:E51)</f>
        <v>0</v>
      </c>
      <c r="C53" s="86"/>
      <c r="D53" s="86"/>
      <c r="E53" s="87"/>
      <c r="F53" s="7"/>
      <c r="G53" s="7"/>
      <c r="H53" s="8"/>
    </row>
    <row r="54" spans="1:8" x14ac:dyDescent="0.25">
      <c r="A54" s="11"/>
      <c r="B54" s="77" t="str">
        <f>IF(OR(AND($B$4="B",$B$53&gt;4),AND($B$4="D",$B$53&gt;6)),"Recalculate! The total ADL hours entered are over the maximum for this case mix."," ")</f>
        <v xml:space="preserve"> </v>
      </c>
      <c r="C54" s="11"/>
      <c r="F54" s="7"/>
      <c r="G54" s="7"/>
      <c r="H54" s="8"/>
    </row>
    <row r="55" spans="1:8" x14ac:dyDescent="0.25">
      <c r="A55" s="34" t="s">
        <v>71</v>
      </c>
      <c r="B55" s="12"/>
      <c r="C55" s="11"/>
      <c r="F55" s="7"/>
      <c r="G55" s="7"/>
      <c r="H55" s="8"/>
    </row>
    <row r="56" spans="1:8" s="10" customFormat="1" ht="30" x14ac:dyDescent="0.25">
      <c r="A56" s="15" t="s">
        <v>9</v>
      </c>
      <c r="B56" s="16" t="s">
        <v>10</v>
      </c>
      <c r="C56" s="15" t="s">
        <v>11</v>
      </c>
      <c r="D56" s="15" t="s">
        <v>43</v>
      </c>
      <c r="E56" s="54" t="s">
        <v>13</v>
      </c>
      <c r="F56" s="14" t="s">
        <v>14</v>
      </c>
      <c r="G56" s="15" t="s">
        <v>44</v>
      </c>
      <c r="H56" s="9" t="s">
        <v>45</v>
      </c>
    </row>
    <row r="57" spans="1:8" ht="30" x14ac:dyDescent="0.25">
      <c r="A57" s="17" t="s">
        <v>72</v>
      </c>
      <c r="B57" s="18">
        <v>28.81</v>
      </c>
      <c r="C57" s="17" t="s">
        <v>19</v>
      </c>
      <c r="D57" s="4" t="s">
        <v>20</v>
      </c>
      <c r="E57" s="56"/>
      <c r="F57" s="7">
        <f t="shared" ref="F57:F69" si="6">ROUND(B57*E57,2)</f>
        <v>0</v>
      </c>
      <c r="G57" s="4" t="s">
        <v>20</v>
      </c>
      <c r="H57" s="8">
        <f t="shared" ref="H57:H69" si="7">ROUND(IF(AND($B$93&lt;3.62,D57="Yes"),(ROUND(B57+(B57*DisabilityFactor),2))*E57,B57*E57),2)</f>
        <v>0</v>
      </c>
    </row>
    <row r="58" spans="1:8" x14ac:dyDescent="0.25">
      <c r="A58" s="17" t="s">
        <v>73</v>
      </c>
      <c r="B58" s="18">
        <v>26.09</v>
      </c>
      <c r="C58" s="17" t="s">
        <v>19</v>
      </c>
      <c r="D58" s="4" t="s">
        <v>20</v>
      </c>
      <c r="E58" s="56"/>
      <c r="F58" s="7">
        <f t="shared" si="6"/>
        <v>0</v>
      </c>
      <c r="G58" s="4" t="s">
        <v>20</v>
      </c>
      <c r="H58" s="8">
        <f t="shared" si="7"/>
        <v>0</v>
      </c>
    </row>
    <row r="59" spans="1:8" x14ac:dyDescent="0.25">
      <c r="A59" s="17" t="s">
        <v>74</v>
      </c>
      <c r="B59" s="18">
        <v>28.81</v>
      </c>
      <c r="C59" s="17" t="s">
        <v>19</v>
      </c>
      <c r="D59" s="4" t="s">
        <v>20</v>
      </c>
      <c r="E59" s="56"/>
      <c r="F59" s="7">
        <f t="shared" si="6"/>
        <v>0</v>
      </c>
      <c r="G59" s="4" t="s">
        <v>20</v>
      </c>
      <c r="H59" s="8">
        <f t="shared" si="7"/>
        <v>0</v>
      </c>
    </row>
    <row r="60" spans="1:8" x14ac:dyDescent="0.25">
      <c r="A60" s="17" t="s">
        <v>75</v>
      </c>
      <c r="B60" s="18">
        <v>28.81</v>
      </c>
      <c r="C60" s="17" t="s">
        <v>19</v>
      </c>
      <c r="D60" s="4" t="s">
        <v>20</v>
      </c>
      <c r="E60" s="56"/>
      <c r="F60" s="7">
        <f t="shared" si="6"/>
        <v>0</v>
      </c>
      <c r="G60" s="4" t="s">
        <v>20</v>
      </c>
      <c r="H60" s="8">
        <f t="shared" si="7"/>
        <v>0</v>
      </c>
    </row>
    <row r="61" spans="1:8" x14ac:dyDescent="0.25">
      <c r="A61" s="17" t="s">
        <v>76</v>
      </c>
      <c r="B61" s="18">
        <v>28.81</v>
      </c>
      <c r="C61" s="17" t="s">
        <v>19</v>
      </c>
      <c r="D61" s="4" t="s">
        <v>20</v>
      </c>
      <c r="E61" s="56"/>
      <c r="F61" s="7">
        <f t="shared" si="6"/>
        <v>0</v>
      </c>
      <c r="G61" s="4" t="s">
        <v>20</v>
      </c>
      <c r="H61" s="8">
        <f t="shared" si="7"/>
        <v>0</v>
      </c>
    </row>
    <row r="62" spans="1:8" x14ac:dyDescent="0.25">
      <c r="A62" s="17" t="s">
        <v>77</v>
      </c>
      <c r="B62" s="18">
        <v>28.81</v>
      </c>
      <c r="C62" s="17" t="s">
        <v>19</v>
      </c>
      <c r="D62" s="4" t="s">
        <v>20</v>
      </c>
      <c r="E62" s="56"/>
      <c r="F62" s="7">
        <f t="shared" si="6"/>
        <v>0</v>
      </c>
      <c r="G62" s="4" t="s">
        <v>20</v>
      </c>
      <c r="H62" s="8">
        <f t="shared" si="7"/>
        <v>0</v>
      </c>
    </row>
    <row r="63" spans="1:8" x14ac:dyDescent="0.25">
      <c r="A63" s="17" t="s">
        <v>78</v>
      </c>
      <c r="B63" s="18">
        <v>28.81</v>
      </c>
      <c r="C63" s="17" t="s">
        <v>19</v>
      </c>
      <c r="D63" s="4" t="s">
        <v>20</v>
      </c>
      <c r="E63" s="56"/>
      <c r="F63" s="7">
        <f t="shared" si="6"/>
        <v>0</v>
      </c>
      <c r="G63" s="4" t="s">
        <v>20</v>
      </c>
      <c r="H63" s="8">
        <f t="shared" si="7"/>
        <v>0</v>
      </c>
    </row>
    <row r="64" spans="1:8" x14ac:dyDescent="0.25">
      <c r="A64" s="17" t="s">
        <v>79</v>
      </c>
      <c r="B64" s="18">
        <v>28.81</v>
      </c>
      <c r="C64" s="17" t="s">
        <v>19</v>
      </c>
      <c r="D64" s="4" t="s">
        <v>20</v>
      </c>
      <c r="E64" s="56"/>
      <c r="F64" s="7">
        <f t="shared" si="6"/>
        <v>0</v>
      </c>
      <c r="G64" s="4" t="s">
        <v>20</v>
      </c>
      <c r="H64" s="8">
        <f t="shared" si="7"/>
        <v>0</v>
      </c>
    </row>
    <row r="65" spans="1:8" x14ac:dyDescent="0.25">
      <c r="A65" s="17" t="s">
        <v>80</v>
      </c>
      <c r="B65" s="18">
        <v>28.81</v>
      </c>
      <c r="C65" s="17" t="s">
        <v>19</v>
      </c>
      <c r="D65" s="4" t="s">
        <v>20</v>
      </c>
      <c r="E65" s="56"/>
      <c r="F65" s="7">
        <f t="shared" si="6"/>
        <v>0</v>
      </c>
      <c r="G65" s="4" t="s">
        <v>20</v>
      </c>
      <c r="H65" s="8">
        <f t="shared" si="7"/>
        <v>0</v>
      </c>
    </row>
    <row r="66" spans="1:8" x14ac:dyDescent="0.25">
      <c r="A66" s="17" t="s">
        <v>81</v>
      </c>
      <c r="B66" s="18">
        <v>28.81</v>
      </c>
      <c r="C66" s="17" t="s">
        <v>19</v>
      </c>
      <c r="D66" s="4" t="s">
        <v>20</v>
      </c>
      <c r="E66" s="56"/>
      <c r="F66" s="7">
        <f t="shared" si="6"/>
        <v>0</v>
      </c>
      <c r="G66" s="4" t="s">
        <v>20</v>
      </c>
      <c r="H66" s="8">
        <f t="shared" si="7"/>
        <v>0</v>
      </c>
    </row>
    <row r="67" spans="1:8" x14ac:dyDescent="0.25">
      <c r="A67" s="17" t="s">
        <v>82</v>
      </c>
      <c r="B67" s="18">
        <v>28.81</v>
      </c>
      <c r="C67" s="17" t="s">
        <v>19</v>
      </c>
      <c r="D67" s="4" t="s">
        <v>20</v>
      </c>
      <c r="E67" s="56"/>
      <c r="F67" s="7">
        <f t="shared" si="6"/>
        <v>0</v>
      </c>
      <c r="G67" s="4" t="s">
        <v>20</v>
      </c>
      <c r="H67" s="8">
        <f t="shared" si="7"/>
        <v>0</v>
      </c>
    </row>
    <row r="68" spans="1:8" x14ac:dyDescent="0.25">
      <c r="A68" s="17" t="s">
        <v>83</v>
      </c>
      <c r="B68" s="18">
        <v>38.049999999999997</v>
      </c>
      <c r="C68" s="17" t="s">
        <v>19</v>
      </c>
      <c r="D68" s="4" t="s">
        <v>20</v>
      </c>
      <c r="E68" s="56"/>
      <c r="F68" s="7">
        <f t="shared" si="6"/>
        <v>0</v>
      </c>
      <c r="G68" s="4" t="s">
        <v>20</v>
      </c>
      <c r="H68" s="8">
        <f t="shared" si="7"/>
        <v>0</v>
      </c>
    </row>
    <row r="69" spans="1:8" x14ac:dyDescent="0.25">
      <c r="A69" s="17" t="s">
        <v>84</v>
      </c>
      <c r="B69" s="18">
        <v>38.049999999999997</v>
      </c>
      <c r="C69" s="17" t="s">
        <v>19</v>
      </c>
      <c r="D69" s="4" t="s">
        <v>20</v>
      </c>
      <c r="E69" s="56"/>
      <c r="F69" s="7">
        <f t="shared" si="6"/>
        <v>0</v>
      </c>
      <c r="G69" s="4" t="s">
        <v>20</v>
      </c>
      <c r="H69" s="8">
        <f t="shared" si="7"/>
        <v>0</v>
      </c>
    </row>
    <row r="70" spans="1:8" x14ac:dyDescent="0.25">
      <c r="A70" s="17" t="s">
        <v>85</v>
      </c>
      <c r="B70" s="18">
        <v>29</v>
      </c>
      <c r="C70" s="17" t="s">
        <v>86</v>
      </c>
      <c r="D70" s="4" t="s">
        <v>28</v>
      </c>
      <c r="E70" s="56"/>
      <c r="F70" s="7">
        <f>ROUND((B70/30.42)*E70,2)</f>
        <v>0</v>
      </c>
      <c r="G70" s="4" t="s">
        <v>28</v>
      </c>
      <c r="H70" s="8">
        <f>ROUND(IF(AND($B$93&lt;3.62,D70="Yes"),(ROUND((B70/30.42)+((B70/30.42)*DisabilityFactor),2))*E70,(B70/30.42)*E70),2)</f>
        <v>0</v>
      </c>
    </row>
    <row r="71" spans="1:8" x14ac:dyDescent="0.25">
      <c r="A71" s="19" t="s">
        <v>87</v>
      </c>
      <c r="B71" s="85">
        <f>SUM(F57:F70)</f>
        <v>0</v>
      </c>
      <c r="C71" s="88"/>
      <c r="D71" s="88"/>
      <c r="E71" s="89"/>
      <c r="F71" s="7"/>
      <c r="G71" s="7"/>
      <c r="H71" s="8"/>
    </row>
    <row r="72" spans="1:8" x14ac:dyDescent="0.25">
      <c r="A72" s="19" t="s">
        <v>88</v>
      </c>
      <c r="B72" s="94">
        <f>SUM(E57:E70)</f>
        <v>0</v>
      </c>
      <c r="C72" s="86"/>
      <c r="D72" s="86"/>
      <c r="E72" s="87"/>
      <c r="F72" s="7"/>
      <c r="G72" s="7"/>
      <c r="H72" s="8"/>
    </row>
    <row r="73" spans="1:8" x14ac:dyDescent="0.25">
      <c r="A73" s="11"/>
      <c r="B73" s="12"/>
      <c r="C73" s="11"/>
      <c r="F73" s="7"/>
      <c r="G73" s="7"/>
      <c r="H73" s="8"/>
    </row>
    <row r="74" spans="1:8" x14ac:dyDescent="0.25">
      <c r="A74" s="34" t="s">
        <v>89</v>
      </c>
      <c r="B74" s="12"/>
      <c r="C74" s="11"/>
      <c r="F74" s="7"/>
      <c r="G74" s="7"/>
      <c r="H74" s="8"/>
    </row>
    <row r="75" spans="1:8" s="10" customFormat="1" ht="30" x14ac:dyDescent="0.25">
      <c r="A75" s="15" t="s">
        <v>9</v>
      </c>
      <c r="B75" s="16" t="s">
        <v>10</v>
      </c>
      <c r="C75" s="15" t="s">
        <v>11</v>
      </c>
      <c r="D75" s="15" t="s">
        <v>43</v>
      </c>
      <c r="E75" s="54" t="s">
        <v>13</v>
      </c>
      <c r="F75" s="14" t="s">
        <v>14</v>
      </c>
      <c r="G75" s="15" t="s">
        <v>44</v>
      </c>
      <c r="H75" s="9" t="s">
        <v>45</v>
      </c>
    </row>
    <row r="76" spans="1:8" x14ac:dyDescent="0.25">
      <c r="A76" s="17" t="s">
        <v>90</v>
      </c>
      <c r="B76" s="18">
        <v>26.09</v>
      </c>
      <c r="C76" s="17" t="s">
        <v>19</v>
      </c>
      <c r="D76" s="4" t="s">
        <v>20</v>
      </c>
      <c r="E76" s="56"/>
      <c r="F76" s="7">
        <f t="shared" ref="F76:F87" si="8">ROUND(B76*E76,2)</f>
        <v>0</v>
      </c>
      <c r="G76" s="4" t="s">
        <v>20</v>
      </c>
      <c r="H76" s="8">
        <f t="shared" ref="H76:H87" si="9">ROUND(IF(AND($B$93&lt;3.62,D76="Yes"),(ROUND(B76+(B76*DisabilityFactor),2))*E76,B76*E76),2)</f>
        <v>0</v>
      </c>
    </row>
    <row r="77" spans="1:8" x14ac:dyDescent="0.25">
      <c r="A77" s="17" t="s">
        <v>91</v>
      </c>
      <c r="B77" s="18">
        <v>26.09</v>
      </c>
      <c r="C77" s="17" t="s">
        <v>19</v>
      </c>
      <c r="D77" s="4" t="s">
        <v>20</v>
      </c>
      <c r="E77" s="56"/>
      <c r="F77" s="7">
        <f t="shared" si="8"/>
        <v>0</v>
      </c>
      <c r="G77" s="4" t="s">
        <v>20</v>
      </c>
      <c r="H77" s="8">
        <f t="shared" si="9"/>
        <v>0</v>
      </c>
    </row>
    <row r="78" spans="1:8" x14ac:dyDescent="0.25">
      <c r="A78" s="17" t="s">
        <v>92</v>
      </c>
      <c r="B78" s="18">
        <v>26.09</v>
      </c>
      <c r="C78" s="17" t="s">
        <v>19</v>
      </c>
      <c r="D78" s="4" t="s">
        <v>20</v>
      </c>
      <c r="E78" s="56"/>
      <c r="F78" s="7">
        <f t="shared" si="8"/>
        <v>0</v>
      </c>
      <c r="G78" s="4" t="s">
        <v>20</v>
      </c>
      <c r="H78" s="8">
        <f t="shared" si="9"/>
        <v>0</v>
      </c>
    </row>
    <row r="79" spans="1:8" x14ac:dyDescent="0.25">
      <c r="A79" s="17" t="s">
        <v>93</v>
      </c>
      <c r="B79" s="18">
        <v>26.09</v>
      </c>
      <c r="C79" s="17" t="s">
        <v>19</v>
      </c>
      <c r="D79" s="4" t="s">
        <v>20</v>
      </c>
      <c r="E79" s="56"/>
      <c r="F79" s="7">
        <f t="shared" si="8"/>
        <v>0</v>
      </c>
      <c r="G79" s="4" t="s">
        <v>20</v>
      </c>
      <c r="H79" s="8">
        <f t="shared" si="9"/>
        <v>0</v>
      </c>
    </row>
    <row r="80" spans="1:8" x14ac:dyDescent="0.25">
      <c r="A80" s="17" t="s">
        <v>94</v>
      </c>
      <c r="B80" s="18">
        <v>26.09</v>
      </c>
      <c r="C80" s="17" t="s">
        <v>19</v>
      </c>
      <c r="D80" s="4" t="s">
        <v>20</v>
      </c>
      <c r="E80" s="56"/>
      <c r="F80" s="7">
        <f t="shared" si="8"/>
        <v>0</v>
      </c>
      <c r="G80" s="4" t="s">
        <v>20</v>
      </c>
      <c r="H80" s="8">
        <f t="shared" si="9"/>
        <v>0</v>
      </c>
    </row>
    <row r="81" spans="1:8" x14ac:dyDescent="0.25">
      <c r="A81" s="17" t="s">
        <v>95</v>
      </c>
      <c r="B81" s="18">
        <v>26.09</v>
      </c>
      <c r="C81" s="17" t="s">
        <v>19</v>
      </c>
      <c r="D81" s="4" t="s">
        <v>20</v>
      </c>
      <c r="E81" s="56"/>
      <c r="F81" s="7">
        <f t="shared" si="8"/>
        <v>0</v>
      </c>
      <c r="G81" s="4" t="s">
        <v>20</v>
      </c>
      <c r="H81" s="8">
        <f t="shared" si="9"/>
        <v>0</v>
      </c>
    </row>
    <row r="82" spans="1:8" x14ac:dyDescent="0.25">
      <c r="A82" s="17" t="s">
        <v>96</v>
      </c>
      <c r="B82" s="18">
        <v>26.09</v>
      </c>
      <c r="C82" s="17" t="s">
        <v>19</v>
      </c>
      <c r="D82" s="4" t="s">
        <v>20</v>
      </c>
      <c r="E82" s="56"/>
      <c r="F82" s="7">
        <f t="shared" si="8"/>
        <v>0</v>
      </c>
      <c r="G82" s="4" t="s">
        <v>20</v>
      </c>
      <c r="H82" s="8">
        <f t="shared" si="9"/>
        <v>0</v>
      </c>
    </row>
    <row r="83" spans="1:8" x14ac:dyDescent="0.25">
      <c r="A83" s="17" t="s">
        <v>97</v>
      </c>
      <c r="B83" s="18">
        <v>26.09</v>
      </c>
      <c r="C83" s="17" t="s">
        <v>19</v>
      </c>
      <c r="D83" s="4" t="s">
        <v>20</v>
      </c>
      <c r="E83" s="56"/>
      <c r="F83" s="7">
        <f t="shared" si="8"/>
        <v>0</v>
      </c>
      <c r="G83" s="4" t="s">
        <v>20</v>
      </c>
      <c r="H83" s="8">
        <f t="shared" si="9"/>
        <v>0</v>
      </c>
    </row>
    <row r="84" spans="1:8" x14ac:dyDescent="0.25">
      <c r="A84" s="17" t="s">
        <v>98</v>
      </c>
      <c r="B84" s="18">
        <v>26.09</v>
      </c>
      <c r="C84" s="17" t="s">
        <v>19</v>
      </c>
      <c r="D84" s="4" t="s">
        <v>20</v>
      </c>
      <c r="E84" s="56"/>
      <c r="F84" s="7">
        <f t="shared" si="8"/>
        <v>0</v>
      </c>
      <c r="G84" s="4" t="s">
        <v>20</v>
      </c>
      <c r="H84" s="8">
        <f t="shared" si="9"/>
        <v>0</v>
      </c>
    </row>
    <row r="85" spans="1:8" x14ac:dyDescent="0.25">
      <c r="A85" s="17" t="s">
        <v>99</v>
      </c>
      <c r="B85" s="18">
        <v>26.09</v>
      </c>
      <c r="C85" s="17" t="s">
        <v>19</v>
      </c>
      <c r="D85" s="4" t="s">
        <v>20</v>
      </c>
      <c r="E85" s="56"/>
      <c r="F85" s="7">
        <f t="shared" si="8"/>
        <v>0</v>
      </c>
      <c r="G85" s="4" t="s">
        <v>20</v>
      </c>
      <c r="H85" s="8">
        <f t="shared" si="9"/>
        <v>0</v>
      </c>
    </row>
    <row r="86" spans="1:8" x14ac:dyDescent="0.25">
      <c r="A86" s="17" t="s">
        <v>100</v>
      </c>
      <c r="B86" s="18">
        <v>26.09</v>
      </c>
      <c r="C86" s="17" t="s">
        <v>19</v>
      </c>
      <c r="D86" s="4" t="s">
        <v>20</v>
      </c>
      <c r="E86" s="56"/>
      <c r="F86" s="7">
        <f t="shared" si="8"/>
        <v>0</v>
      </c>
      <c r="G86" s="4" t="s">
        <v>20</v>
      </c>
      <c r="H86" s="8">
        <f t="shared" si="9"/>
        <v>0</v>
      </c>
    </row>
    <row r="87" spans="1:8" x14ac:dyDescent="0.25">
      <c r="A87" s="17" t="s">
        <v>101</v>
      </c>
      <c r="B87" s="18">
        <v>26.09</v>
      </c>
      <c r="C87" s="17" t="s">
        <v>19</v>
      </c>
      <c r="D87" s="4" t="s">
        <v>20</v>
      </c>
      <c r="E87" s="56"/>
      <c r="F87" s="7">
        <f t="shared" si="8"/>
        <v>0</v>
      </c>
      <c r="G87" s="4" t="s">
        <v>20</v>
      </c>
      <c r="H87" s="8">
        <f t="shared" si="9"/>
        <v>0</v>
      </c>
    </row>
    <row r="88" spans="1:8" x14ac:dyDescent="0.25">
      <c r="A88" s="19" t="s">
        <v>102</v>
      </c>
      <c r="B88" s="85">
        <f>SUM(F76:F87)</f>
        <v>0</v>
      </c>
      <c r="C88" s="88"/>
      <c r="D88" s="88"/>
      <c r="E88" s="89"/>
      <c r="F88" s="7"/>
      <c r="G88" s="7"/>
      <c r="H88" s="7"/>
    </row>
    <row r="89" spans="1:8" x14ac:dyDescent="0.25">
      <c r="A89" s="19" t="s">
        <v>103</v>
      </c>
      <c r="B89" s="94">
        <f>SUM(E76:E87)</f>
        <v>0</v>
      </c>
      <c r="C89" s="86"/>
      <c r="D89" s="86"/>
      <c r="E89" s="87"/>
      <c r="F89" s="7">
        <f>SUM(F8:F87)</f>
        <v>0</v>
      </c>
      <c r="G89" s="7"/>
      <c r="H89" s="7">
        <f>SUM(H8:H87)</f>
        <v>0</v>
      </c>
    </row>
    <row r="90" spans="1:8" x14ac:dyDescent="0.25">
      <c r="A90" s="11"/>
      <c r="B90" s="77" t="str">
        <f>IF(AND(OR(B4="A",B4="D",B4="G"), AND(B89&gt;2)),"Recalculate! The total mental health hours entered are over the maximum for this case mix."," ")</f>
        <v xml:space="preserve"> </v>
      </c>
      <c r="C90" s="11"/>
      <c r="F90" s="7"/>
      <c r="G90" s="7"/>
      <c r="H90" s="8"/>
    </row>
    <row r="91" spans="1:8" x14ac:dyDescent="0.25">
      <c r="A91" s="13" t="s">
        <v>104</v>
      </c>
      <c r="B91" s="12"/>
      <c r="C91" s="11"/>
      <c r="F91" s="7"/>
      <c r="G91" s="7"/>
      <c r="H91" s="8"/>
    </row>
    <row r="92" spans="1:8" x14ac:dyDescent="0.25">
      <c r="A92" s="20" t="s">
        <v>105</v>
      </c>
      <c r="B92" s="90">
        <f>F89</f>
        <v>0</v>
      </c>
      <c r="C92" s="91"/>
      <c r="D92" s="91"/>
      <c r="E92" s="92"/>
      <c r="F92" s="7"/>
      <c r="G92" s="7"/>
      <c r="H92" s="8"/>
    </row>
    <row r="93" spans="1:8" x14ac:dyDescent="0.25">
      <c r="A93" s="26" t="s">
        <v>106</v>
      </c>
      <c r="B93" s="84">
        <f>SUMIF(D8:D87,"=Yes",E8:E87)</f>
        <v>0</v>
      </c>
      <c r="C93" s="84"/>
      <c r="D93" s="84"/>
      <c r="E93" s="84"/>
    </row>
    <row r="94" spans="1:8" x14ac:dyDescent="0.25">
      <c r="A94" s="75" t="s">
        <v>107</v>
      </c>
      <c r="B94" s="84">
        <f>SUMIF(G8:G87,"=Yes",E8:E87)</f>
        <v>0</v>
      </c>
      <c r="C94" s="84"/>
      <c r="D94" s="84"/>
      <c r="E94" s="84"/>
    </row>
    <row r="95" spans="1:8" ht="17.25" x14ac:dyDescent="0.3">
      <c r="B95" s="76" t="str">
        <f>IF(B94&gt;24,"Recalculate! More than 24 hours have been entered for a daily unit."," ")</f>
        <v xml:space="preserve"> </v>
      </c>
    </row>
    <row r="100" spans="11:11" x14ac:dyDescent="0.25">
      <c r="K100" s="3" t="s">
        <v>2</v>
      </c>
    </row>
    <row r="101" spans="11:11" x14ac:dyDescent="0.25">
      <c r="K101" s="3" t="s">
        <v>3</v>
      </c>
    </row>
    <row r="102" spans="11:11" x14ac:dyDescent="0.25">
      <c r="K102" s="3" t="s">
        <v>5</v>
      </c>
    </row>
    <row r="103" spans="11:11" x14ac:dyDescent="0.25">
      <c r="K103" s="3" t="s">
        <v>6</v>
      </c>
    </row>
    <row r="104" spans="11:11" x14ac:dyDescent="0.25">
      <c r="K104" s="3" t="s">
        <v>8</v>
      </c>
    </row>
    <row r="105" spans="11:11" x14ac:dyDescent="0.25">
      <c r="K105" s="3" t="s">
        <v>17</v>
      </c>
    </row>
    <row r="106" spans="11:11" x14ac:dyDescent="0.25">
      <c r="K106" s="3" t="s">
        <v>21</v>
      </c>
    </row>
    <row r="107" spans="11:11" x14ac:dyDescent="0.25">
      <c r="K107" s="3" t="s">
        <v>108</v>
      </c>
    </row>
    <row r="108" spans="11:11" x14ac:dyDescent="0.25">
      <c r="K108" s="3" t="s">
        <v>109</v>
      </c>
    </row>
    <row r="109" spans="11:11" x14ac:dyDescent="0.25">
      <c r="K109" s="3" t="s">
        <v>110</v>
      </c>
    </row>
    <row r="110" spans="11:11" x14ac:dyDescent="0.25">
      <c r="K110" s="3" t="s">
        <v>23</v>
      </c>
    </row>
    <row r="111" spans="11:11" x14ac:dyDescent="0.25">
      <c r="K111" s="3" t="s">
        <v>25</v>
      </c>
    </row>
  </sheetData>
  <sheetProtection algorithmName="SHA-512" hashValue="swoYZ0/RvyvD+TMc55E90WfLG4p0YA8ITZ2SPMCIFgyECX8H+GTQxZWdNG5Oq2dueupdd+5bSQvC6aCHf/t6NQ==" saltValue="cKCUdnhI9vget7nSWtn0wg==" spinCount="100000" sheet="1" objects="1" scenarios="1"/>
  <mergeCells count="13">
    <mergeCell ref="B94:E94"/>
    <mergeCell ref="B23:E23"/>
    <mergeCell ref="B38:E38"/>
    <mergeCell ref="B52:E52"/>
    <mergeCell ref="B71:E71"/>
    <mergeCell ref="B88:E88"/>
    <mergeCell ref="B93:E93"/>
    <mergeCell ref="B92:E92"/>
    <mergeCell ref="B24:E24"/>
    <mergeCell ref="B39:E39"/>
    <mergeCell ref="B53:E53"/>
    <mergeCell ref="B72:E72"/>
    <mergeCell ref="B89:E89"/>
  </mergeCells>
  <dataValidations xWindow="618" yWindow="634" count="18">
    <dataValidation allowBlank="1" showInputMessage="1" showErrorMessage="1" prompt="Enter number of units for sub service" sqref="E7 E27 E42 E56 E75" xr:uid="{00000000-0002-0000-0000-000000000000}"/>
    <dataValidation allowBlank="1" showInputMessage="1" showErrorMessage="1" prompt="Straight Rate formula equals Rate times # of Units" sqref="F56 F7 F27 F42 F75" xr:uid="{00000000-0002-0000-0000-000001000000}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27 H42 H56 H75" xr:uid="{00000000-0002-0000-0000-000002000000}"/>
    <dataValidation allowBlank="1" showInputMessage="1" showErrorMessage="1" prompt="Use CTRL plus arrow keys to move to edge of each table.  Use TAB to move to data entry fields" sqref="A1" xr:uid="{00000000-0002-0000-0000-000003000000}"/>
    <dataValidation allowBlank="1" showInputMessage="1" showErrorMessage="1" prompt="Total Meals, Home Management, Socializtion Rate formula is SUM of all Meals, Home Management Socialization services Rate times # Units" sqref="B23:E23" xr:uid="{00000000-0002-0000-0000-000004000000}"/>
    <dataValidation allowBlank="1" showInputMessage="1" showErrorMessage="1" prompt="Total Transportaion Rate formula is SUM of all Transportation services Rate times # Units" sqref="B38:E38" xr:uid="{00000000-0002-0000-0000-000005000000}"/>
    <dataValidation allowBlank="1" showInputMessage="1" showErrorMessage="1" prompt="Total ADL Assistance Rate formula is SUM of all ADL Assistance services Rate times # Units" sqref="B52:E52" xr:uid="{00000000-0002-0000-0000-000006000000}"/>
    <dataValidation allowBlank="1" showInputMessage="1" showErrorMessage="1" prompt="Total Health Related Rate formula is SUM of all Health Related services Rate times # Units" sqref="B71:E71" xr:uid="{00000000-0002-0000-0000-000007000000}"/>
    <dataValidation allowBlank="1" showInputMessage="1" showErrorMessage="1" prompt="Total Mental Health Management Rate formula is SUM of all Mental Health services Rate times # Units" sqref="B88:E88" xr:uid="{00000000-0002-0000-0000-000008000000}"/>
    <dataValidation allowBlank="1" showInputMessage="1" showErrorMessage="1" prompt="Total Meals, Home Management, Socialization Units formula is SUM of all Meals, Home Management, Socialization # units" sqref="B24:E24" xr:uid="{00000000-0002-0000-0000-000009000000}"/>
    <dataValidation allowBlank="1" showInputMessage="1" showErrorMessage="1" prompt="Total Transportation Units formula is SUM of all Transportation services 3 Units" sqref="B39:E39" xr:uid="{00000000-0002-0000-0000-00000A000000}"/>
    <dataValidation allowBlank="1" showInputMessage="1" showErrorMessage="1" prompt="Total ADL Assistance Units formula is SUM of all ADL Assistance services # Units" sqref="B53:E53" xr:uid="{00000000-0002-0000-0000-00000B000000}"/>
    <dataValidation allowBlank="1" showInputMessage="1" showErrorMessage="1" prompt="Total Health Related Units formula is SUM of all Health Related services # Units" sqref="B72:E72" xr:uid="{00000000-0002-0000-0000-00000C000000}"/>
    <dataValidation allowBlank="1" showInputMessage="1" showErrorMessage="1" prompt="Total Mental Health Management  Units formula is SUM of all Menatl Health Management services # Units" sqref="B89:E89" xr:uid="{00000000-0002-0000-0000-00000D000000}"/>
    <dataValidation allowBlank="1" showInputMessage="1" showErrorMessage="1" prompt="Total Rate is SUM of all services Rate times # Units" sqref="B92:E92" xr:uid="{00000000-0002-0000-0000-00000E000000}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3:E93" xr:uid="{00000000-0002-0000-0000-00000F000000}">
      <formula1>24</formula1>
    </dataValidation>
    <dataValidation allowBlank="1" showInputMessage="1" showErrorMessage="1" prompt="Eligible Units - 24 Hour Maximum formula is SUM all # Units that count toward the 24 hour maximum." sqref="B94:E94" xr:uid="{00000000-0002-0000-0000-000011000000}"/>
    <dataValidation type="list" allowBlank="1" showInputMessage="1" showErrorMessage="1" prompt="ENTER person's case mix from MnCHOICES assessment" sqref="B4" xr:uid="{00000000-0002-0000-0000-000010000000}">
      <formula1>$K$100:$K$111</formula1>
    </dataValidation>
  </dataValidations>
  <pageMargins left="0.25" right="0.25" top="0.75" bottom="0.75" header="0.3" footer="0.3"/>
  <pageSetup orientation="landscape" horizontalDpi="300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</cols>
  <sheetData>
    <row r="3" spans="1:6" x14ac:dyDescent="0.25">
      <c r="A3" s="40" t="s">
        <v>111</v>
      </c>
      <c r="B3" s="41"/>
      <c r="C3" s="41"/>
      <c r="D3" s="41"/>
    </row>
    <row r="4" spans="1:6" x14ac:dyDescent="0.25">
      <c r="A4" s="43" t="s">
        <v>112</v>
      </c>
      <c r="B4" s="95" t="s">
        <v>113</v>
      </c>
      <c r="C4" s="96"/>
      <c r="D4" s="97"/>
    </row>
    <row r="5" spans="1:6" x14ac:dyDescent="0.25">
      <c r="A5" s="43" t="s">
        <v>114</v>
      </c>
      <c r="B5" s="98" t="str">
        <f>INDEX($C$10:$C$108,MATCH(B4:D4,B10:B108,0))</f>
        <v>Unspecified Region</v>
      </c>
      <c r="C5" s="99"/>
      <c r="D5" s="100"/>
    </row>
    <row r="7" spans="1:6" hidden="1" x14ac:dyDescent="0.25">
      <c r="A7" t="s">
        <v>115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116</v>
      </c>
      <c r="C9" s="44" t="s">
        <v>117</v>
      </c>
      <c r="D9" s="45" t="s">
        <v>115</v>
      </c>
      <c r="F9"/>
    </row>
    <row r="10" spans="1:6" hidden="1" x14ac:dyDescent="0.25">
      <c r="B10" s="46" t="s">
        <v>113</v>
      </c>
      <c r="C10" s="46" t="s">
        <v>118</v>
      </c>
      <c r="D10" s="47" t="s">
        <v>119</v>
      </c>
      <c r="F10"/>
    </row>
    <row r="11" spans="1:6" hidden="1" x14ac:dyDescent="0.25">
      <c r="B11" s="48" t="s">
        <v>120</v>
      </c>
      <c r="C11" s="48" t="s">
        <v>121</v>
      </c>
      <c r="D11" s="80">
        <v>0.97099999999999997</v>
      </c>
      <c r="F11"/>
    </row>
    <row r="12" spans="1:6" hidden="1" x14ac:dyDescent="0.25">
      <c r="B12" s="48" t="s">
        <v>122</v>
      </c>
      <c r="C12" s="48" t="s">
        <v>123</v>
      </c>
      <c r="D12" s="80">
        <v>1.0169999999999999</v>
      </c>
      <c r="F12"/>
    </row>
    <row r="13" spans="1:6" hidden="1" x14ac:dyDescent="0.25">
      <c r="B13" s="48" t="s">
        <v>124</v>
      </c>
      <c r="C13" s="48" t="s">
        <v>125</v>
      </c>
      <c r="D13" s="80">
        <v>0.95399999999999996</v>
      </c>
      <c r="F13"/>
    </row>
    <row r="14" spans="1:6" hidden="1" x14ac:dyDescent="0.25">
      <c r="B14" s="48" t="s">
        <v>126</v>
      </c>
      <c r="C14" s="48" t="s">
        <v>125</v>
      </c>
      <c r="D14" s="80">
        <v>0.95399999999999996</v>
      </c>
      <c r="F14"/>
    </row>
    <row r="15" spans="1:6" hidden="1" x14ac:dyDescent="0.25">
      <c r="B15" s="48" t="s">
        <v>127</v>
      </c>
      <c r="C15" s="48" t="s">
        <v>128</v>
      </c>
      <c r="D15" s="80">
        <v>0.996</v>
      </c>
      <c r="F15"/>
    </row>
    <row r="16" spans="1:6" hidden="1" x14ac:dyDescent="0.25">
      <c r="B16" s="48" t="s">
        <v>129</v>
      </c>
      <c r="C16" s="49" t="s">
        <v>130</v>
      </c>
      <c r="D16" s="80">
        <v>0.97799999999999998</v>
      </c>
      <c r="F16"/>
    </row>
    <row r="17" spans="2:6" hidden="1" x14ac:dyDescent="0.25">
      <c r="B17" s="48" t="s">
        <v>131</v>
      </c>
      <c r="C17" s="48" t="s">
        <v>132</v>
      </c>
      <c r="D17" s="80">
        <v>1.014</v>
      </c>
      <c r="F17"/>
    </row>
    <row r="18" spans="2:6" hidden="1" x14ac:dyDescent="0.25">
      <c r="B18" s="48" t="s">
        <v>133</v>
      </c>
      <c r="C18" s="49" t="s">
        <v>134</v>
      </c>
      <c r="D18" s="80">
        <v>1.01</v>
      </c>
      <c r="F18"/>
    </row>
    <row r="19" spans="2:6" hidden="1" x14ac:dyDescent="0.25">
      <c r="B19" s="48" t="s">
        <v>135</v>
      </c>
      <c r="C19" s="49" t="s">
        <v>136</v>
      </c>
      <c r="D19" s="80">
        <v>0.97699999999999998</v>
      </c>
      <c r="F19"/>
    </row>
    <row r="20" spans="2:6" hidden="1" x14ac:dyDescent="0.25">
      <c r="B20" s="48" t="s">
        <v>137</v>
      </c>
      <c r="C20" s="48" t="s">
        <v>123</v>
      </c>
      <c r="D20" s="80">
        <v>1.0169999999999999</v>
      </c>
      <c r="F20"/>
    </row>
    <row r="21" spans="2:6" hidden="1" x14ac:dyDescent="0.25">
      <c r="B21" s="48" t="s">
        <v>138</v>
      </c>
      <c r="C21" s="48" t="s">
        <v>125</v>
      </c>
      <c r="D21" s="80">
        <v>0.95399999999999996</v>
      </c>
      <c r="F21"/>
    </row>
    <row r="22" spans="2:6" hidden="1" x14ac:dyDescent="0.25">
      <c r="B22" s="48" t="s">
        <v>139</v>
      </c>
      <c r="C22" s="49" t="s">
        <v>130</v>
      </c>
      <c r="D22" s="80">
        <v>0.97799999999999998</v>
      </c>
      <c r="F22"/>
    </row>
    <row r="23" spans="2:6" hidden="1" x14ac:dyDescent="0.25">
      <c r="B23" s="48" t="s">
        <v>140</v>
      </c>
      <c r="C23" s="49" t="s">
        <v>123</v>
      </c>
      <c r="D23" s="80">
        <v>1.0169999999999999</v>
      </c>
      <c r="F23"/>
    </row>
    <row r="24" spans="2:6" hidden="1" x14ac:dyDescent="0.25">
      <c r="B24" s="48" t="s">
        <v>141</v>
      </c>
      <c r="C24" s="49" t="s">
        <v>142</v>
      </c>
      <c r="D24" s="80">
        <v>1.0109999999999999</v>
      </c>
      <c r="F24"/>
    </row>
    <row r="25" spans="2:6" hidden="1" x14ac:dyDescent="0.25">
      <c r="B25" s="48" t="s">
        <v>143</v>
      </c>
      <c r="C25" s="48" t="s">
        <v>125</v>
      </c>
      <c r="D25" s="80">
        <v>0.95399999999999996</v>
      </c>
      <c r="F25"/>
    </row>
    <row r="26" spans="2:6" hidden="1" x14ac:dyDescent="0.25">
      <c r="B26" s="48" t="s">
        <v>144</v>
      </c>
      <c r="C26" s="49" t="s">
        <v>121</v>
      </c>
      <c r="D26" s="80">
        <v>0.97099999999999997</v>
      </c>
      <c r="F26"/>
    </row>
    <row r="27" spans="2:6" hidden="1" x14ac:dyDescent="0.25">
      <c r="B27" s="48" t="s">
        <v>145</v>
      </c>
      <c r="C27" s="49" t="s">
        <v>130</v>
      </c>
      <c r="D27" s="80">
        <v>0.97799999999999998</v>
      </c>
      <c r="F27"/>
    </row>
    <row r="28" spans="2:6" hidden="1" x14ac:dyDescent="0.25">
      <c r="B28" s="48" t="s">
        <v>146</v>
      </c>
      <c r="C28" s="48" t="s">
        <v>125</v>
      </c>
      <c r="D28" s="80">
        <v>0.95399999999999996</v>
      </c>
      <c r="F28"/>
    </row>
    <row r="29" spans="2:6" hidden="1" x14ac:dyDescent="0.25">
      <c r="B29" s="48" t="s">
        <v>147</v>
      </c>
      <c r="C29" s="48" t="s">
        <v>123</v>
      </c>
      <c r="D29" s="80">
        <v>1.0169999999999999</v>
      </c>
      <c r="F29"/>
    </row>
    <row r="30" spans="2:6" hidden="1" x14ac:dyDescent="0.25">
      <c r="B30" s="48" t="s">
        <v>148</v>
      </c>
      <c r="C30" s="49" t="s">
        <v>149</v>
      </c>
      <c r="D30" s="80">
        <v>1.006</v>
      </c>
      <c r="F30"/>
    </row>
    <row r="31" spans="2:6" hidden="1" x14ac:dyDescent="0.25">
      <c r="B31" s="48" t="s">
        <v>150</v>
      </c>
      <c r="C31" s="48" t="s">
        <v>125</v>
      </c>
      <c r="D31" s="80">
        <v>0.95399999999999996</v>
      </c>
      <c r="F31"/>
    </row>
    <row r="32" spans="2:6" hidden="1" x14ac:dyDescent="0.25">
      <c r="B32" s="48" t="s">
        <v>151</v>
      </c>
      <c r="C32" s="49" t="s">
        <v>134</v>
      </c>
      <c r="D32" s="80">
        <v>1.01</v>
      </c>
      <c r="F32"/>
    </row>
    <row r="33" spans="2:6" hidden="1" x14ac:dyDescent="0.25">
      <c r="B33" s="48" t="s">
        <v>152</v>
      </c>
      <c r="C33" s="49" t="s">
        <v>149</v>
      </c>
      <c r="D33" s="80">
        <v>1.006</v>
      </c>
      <c r="F33"/>
    </row>
    <row r="34" spans="2:6" hidden="1" x14ac:dyDescent="0.25">
      <c r="B34" s="48" t="s">
        <v>153</v>
      </c>
      <c r="C34" s="49" t="s">
        <v>134</v>
      </c>
      <c r="D34" s="80">
        <v>1.01</v>
      </c>
      <c r="F34"/>
    </row>
    <row r="35" spans="2:6" hidden="1" x14ac:dyDescent="0.25">
      <c r="B35" s="48" t="s">
        <v>154</v>
      </c>
      <c r="C35" s="49" t="s">
        <v>134</v>
      </c>
      <c r="D35" s="80">
        <v>1.01</v>
      </c>
      <c r="F35"/>
    </row>
    <row r="36" spans="2:6" hidden="1" x14ac:dyDescent="0.25">
      <c r="B36" s="48" t="s">
        <v>155</v>
      </c>
      <c r="C36" s="48" t="s">
        <v>125</v>
      </c>
      <c r="D36" s="80">
        <v>0.95399999999999996</v>
      </c>
      <c r="F36"/>
    </row>
    <row r="37" spans="2:6" hidden="1" x14ac:dyDescent="0.25">
      <c r="B37" s="48" t="s">
        <v>156</v>
      </c>
      <c r="C37" s="48" t="s">
        <v>123</v>
      </c>
      <c r="D37" s="80">
        <v>1.0169999999999999</v>
      </c>
      <c r="F37"/>
    </row>
    <row r="38" spans="2:6" hidden="1" x14ac:dyDescent="0.25">
      <c r="B38" s="48" t="s">
        <v>157</v>
      </c>
      <c r="C38" s="49" t="s">
        <v>158</v>
      </c>
      <c r="D38" s="80">
        <v>0.97599999999999998</v>
      </c>
      <c r="F38"/>
    </row>
    <row r="39" spans="2:6" hidden="1" x14ac:dyDescent="0.25">
      <c r="B39" s="48" t="s">
        <v>159</v>
      </c>
      <c r="C39" s="48" t="s">
        <v>125</v>
      </c>
      <c r="D39" s="80">
        <v>0.95399999999999996</v>
      </c>
      <c r="F39"/>
    </row>
    <row r="40" spans="2:6" hidden="1" x14ac:dyDescent="0.25">
      <c r="B40" s="48" t="s">
        <v>160</v>
      </c>
      <c r="C40" s="49" t="s">
        <v>123</v>
      </c>
      <c r="D40" s="80">
        <v>1.0169999999999999</v>
      </c>
      <c r="F40"/>
    </row>
    <row r="41" spans="2:6" hidden="1" x14ac:dyDescent="0.25">
      <c r="B41" s="48" t="s">
        <v>161</v>
      </c>
      <c r="C41" s="49" t="s">
        <v>121</v>
      </c>
      <c r="D41" s="80">
        <v>0.97099999999999997</v>
      </c>
      <c r="F41"/>
    </row>
    <row r="42" spans="2:6" hidden="1" x14ac:dyDescent="0.25">
      <c r="B42" s="48" t="s">
        <v>162</v>
      </c>
      <c r="C42" s="49" t="s">
        <v>130</v>
      </c>
      <c r="D42" s="80">
        <v>0.97799999999999998</v>
      </c>
      <c r="F42"/>
    </row>
    <row r="43" spans="2:6" hidden="1" x14ac:dyDescent="0.25">
      <c r="B43" s="48" t="s">
        <v>163</v>
      </c>
      <c r="C43" s="49" t="s">
        <v>121</v>
      </c>
      <c r="D43" s="80">
        <v>0.97099999999999997</v>
      </c>
      <c r="F43"/>
    </row>
    <row r="44" spans="2:6" hidden="1" x14ac:dyDescent="0.25">
      <c r="B44" s="48" t="s">
        <v>164</v>
      </c>
      <c r="C44" s="49" t="s">
        <v>130</v>
      </c>
      <c r="D44" s="80">
        <v>0.97799999999999998</v>
      </c>
      <c r="F44"/>
    </row>
    <row r="45" spans="2:6" hidden="1" x14ac:dyDescent="0.25">
      <c r="B45" s="48" t="s">
        <v>165</v>
      </c>
      <c r="C45" s="48" t="s">
        <v>125</v>
      </c>
      <c r="D45" s="80">
        <v>0.95399999999999996</v>
      </c>
      <c r="F45"/>
    </row>
    <row r="46" spans="2:6" hidden="1" x14ac:dyDescent="0.25">
      <c r="B46" s="48" t="s">
        <v>166</v>
      </c>
      <c r="C46" s="49" t="s">
        <v>121</v>
      </c>
      <c r="D46" s="80">
        <v>0.97099999999999997</v>
      </c>
      <c r="F46"/>
    </row>
    <row r="47" spans="2:6" hidden="1" x14ac:dyDescent="0.25">
      <c r="B47" s="48" t="s">
        <v>167</v>
      </c>
      <c r="C47" s="49" t="s">
        <v>130</v>
      </c>
      <c r="D47" s="80">
        <v>0.97799999999999998</v>
      </c>
      <c r="F47"/>
    </row>
    <row r="48" spans="2:6" hidden="1" x14ac:dyDescent="0.25">
      <c r="B48" s="48" t="s">
        <v>168</v>
      </c>
      <c r="C48" s="49" t="s">
        <v>121</v>
      </c>
      <c r="D48" s="80">
        <v>0.97099999999999997</v>
      </c>
      <c r="F48"/>
    </row>
    <row r="49" spans="2:6" hidden="1" x14ac:dyDescent="0.25">
      <c r="B49" s="48" t="s">
        <v>169</v>
      </c>
      <c r="C49" s="48" t="s">
        <v>125</v>
      </c>
      <c r="D49" s="80">
        <v>0.95399999999999996</v>
      </c>
      <c r="F49"/>
    </row>
    <row r="50" spans="2:6" hidden="1" x14ac:dyDescent="0.25">
      <c r="B50" s="48" t="s">
        <v>170</v>
      </c>
      <c r="C50" s="49" t="s">
        <v>123</v>
      </c>
      <c r="D50" s="80">
        <v>1.0169999999999999</v>
      </c>
      <c r="F50"/>
    </row>
    <row r="51" spans="2:6" hidden="1" x14ac:dyDescent="0.25">
      <c r="B51" s="48" t="s">
        <v>171</v>
      </c>
      <c r="C51" s="49" t="s">
        <v>130</v>
      </c>
      <c r="D51" s="80">
        <v>0.97799999999999998</v>
      </c>
      <c r="F51"/>
    </row>
    <row r="52" spans="2:6" hidden="1" x14ac:dyDescent="0.25">
      <c r="B52" s="48" t="s">
        <v>172</v>
      </c>
      <c r="C52" s="49" t="s">
        <v>130</v>
      </c>
      <c r="D52" s="80">
        <v>0.97799999999999998</v>
      </c>
      <c r="F52"/>
    </row>
    <row r="53" spans="2:6" hidden="1" x14ac:dyDescent="0.25">
      <c r="B53" s="48" t="s">
        <v>173</v>
      </c>
      <c r="C53" s="49" t="s">
        <v>130</v>
      </c>
      <c r="D53" s="80">
        <v>0.97799999999999998</v>
      </c>
      <c r="F53"/>
    </row>
    <row r="54" spans="2:6" hidden="1" x14ac:dyDescent="0.25">
      <c r="B54" s="48" t="s">
        <v>174</v>
      </c>
      <c r="C54" s="48" t="s">
        <v>125</v>
      </c>
      <c r="D54" s="80">
        <v>0.95399999999999996</v>
      </c>
      <c r="F54"/>
    </row>
    <row r="55" spans="2:6" hidden="1" x14ac:dyDescent="0.25">
      <c r="B55" s="48" t="s">
        <v>175</v>
      </c>
      <c r="C55" s="48" t="s">
        <v>125</v>
      </c>
      <c r="D55" s="80">
        <v>0.95399999999999996</v>
      </c>
      <c r="F55"/>
    </row>
    <row r="56" spans="2:6" hidden="1" x14ac:dyDescent="0.25">
      <c r="B56" s="48" t="s">
        <v>176</v>
      </c>
      <c r="C56" s="49" t="s">
        <v>134</v>
      </c>
      <c r="D56" s="80">
        <v>1.01</v>
      </c>
      <c r="F56"/>
    </row>
    <row r="57" spans="2:6" hidden="1" x14ac:dyDescent="0.25">
      <c r="B57" s="48" t="s">
        <v>177</v>
      </c>
      <c r="C57" s="49" t="s">
        <v>130</v>
      </c>
      <c r="D57" s="80">
        <v>0.97799999999999998</v>
      </c>
      <c r="F57"/>
    </row>
    <row r="58" spans="2:6" hidden="1" x14ac:dyDescent="0.25">
      <c r="B58" s="48" t="s">
        <v>178</v>
      </c>
      <c r="C58" s="49" t="s">
        <v>123</v>
      </c>
      <c r="D58" s="80">
        <v>1.0169999999999999</v>
      </c>
      <c r="F58"/>
    </row>
    <row r="59" spans="2:6" hidden="1" x14ac:dyDescent="0.25">
      <c r="B59" s="48" t="s">
        <v>179</v>
      </c>
      <c r="C59" s="48" t="s">
        <v>125</v>
      </c>
      <c r="D59" s="80">
        <v>0.95399999999999996</v>
      </c>
      <c r="F59"/>
    </row>
    <row r="60" spans="2:6" hidden="1" x14ac:dyDescent="0.25">
      <c r="B60" s="48" t="s">
        <v>180</v>
      </c>
      <c r="C60" s="49" t="s">
        <v>134</v>
      </c>
      <c r="D60" s="80">
        <v>1.01</v>
      </c>
      <c r="F60"/>
    </row>
    <row r="61" spans="2:6" hidden="1" x14ac:dyDescent="0.25">
      <c r="B61" s="48" t="s">
        <v>181</v>
      </c>
      <c r="C61" s="49" t="s">
        <v>130</v>
      </c>
      <c r="D61" s="80">
        <v>0.97799999999999998</v>
      </c>
      <c r="F61"/>
    </row>
    <row r="62" spans="2:6" hidden="1" x14ac:dyDescent="0.25">
      <c r="B62" s="48" t="s">
        <v>182</v>
      </c>
      <c r="C62" s="49" t="s">
        <v>132</v>
      </c>
      <c r="D62" s="80">
        <v>1.014</v>
      </c>
      <c r="F62"/>
    </row>
    <row r="63" spans="2:6" hidden="1" x14ac:dyDescent="0.25">
      <c r="B63" s="48" t="s">
        <v>183</v>
      </c>
      <c r="C63" s="49" t="s">
        <v>130</v>
      </c>
      <c r="D63" s="80">
        <v>0.97799999999999998</v>
      </c>
      <c r="F63"/>
    </row>
    <row r="64" spans="2:6" hidden="1" x14ac:dyDescent="0.25">
      <c r="B64" s="48" t="s">
        <v>184</v>
      </c>
      <c r="C64" s="48" t="s">
        <v>125</v>
      </c>
      <c r="D64" s="80">
        <v>0.95399999999999996</v>
      </c>
      <c r="F64"/>
    </row>
    <row r="65" spans="2:6" hidden="1" x14ac:dyDescent="0.25">
      <c r="B65" s="48" t="s">
        <v>185</v>
      </c>
      <c r="C65" s="49" t="s">
        <v>149</v>
      </c>
      <c r="D65" s="80">
        <v>1.006</v>
      </c>
      <c r="F65"/>
    </row>
    <row r="66" spans="2:6" hidden="1" x14ac:dyDescent="0.25">
      <c r="B66" s="48" t="s">
        <v>186</v>
      </c>
      <c r="C66" s="48" t="s">
        <v>125</v>
      </c>
      <c r="D66" s="80">
        <v>0.95399999999999996</v>
      </c>
      <c r="F66"/>
    </row>
    <row r="67" spans="2:6" hidden="1" x14ac:dyDescent="0.25">
      <c r="B67" s="48" t="s">
        <v>187</v>
      </c>
      <c r="C67" s="48" t="s">
        <v>125</v>
      </c>
      <c r="D67" s="80">
        <v>0.95399999999999996</v>
      </c>
      <c r="F67"/>
    </row>
    <row r="68" spans="2:6" hidden="1" x14ac:dyDescent="0.25">
      <c r="B68" s="48" t="s">
        <v>188</v>
      </c>
      <c r="C68" s="49" t="s">
        <v>121</v>
      </c>
      <c r="D68" s="80">
        <v>0.97099999999999997</v>
      </c>
      <c r="F68"/>
    </row>
    <row r="69" spans="2:6" hidden="1" x14ac:dyDescent="0.25">
      <c r="B69" s="48" t="s">
        <v>189</v>
      </c>
      <c r="C69" s="49" t="s">
        <v>130</v>
      </c>
      <c r="D69" s="80">
        <v>0.97799999999999998</v>
      </c>
      <c r="F69"/>
    </row>
    <row r="70" spans="2:6" hidden="1" x14ac:dyDescent="0.25">
      <c r="B70" s="48" t="s">
        <v>190</v>
      </c>
      <c r="C70" s="49" t="s">
        <v>191</v>
      </c>
      <c r="D70" s="80">
        <v>1.026</v>
      </c>
      <c r="F70"/>
    </row>
    <row r="71" spans="2:6" hidden="1" x14ac:dyDescent="0.25">
      <c r="B71" s="48" t="s">
        <v>192</v>
      </c>
      <c r="C71" s="48" t="s">
        <v>125</v>
      </c>
      <c r="D71" s="80">
        <v>0.95399999999999996</v>
      </c>
      <c r="F71"/>
    </row>
    <row r="72" spans="2:6" hidden="1" x14ac:dyDescent="0.25">
      <c r="B72" s="48" t="s">
        <v>193</v>
      </c>
      <c r="C72" s="48" t="s">
        <v>123</v>
      </c>
      <c r="D72" s="80">
        <v>1.0169999999999999</v>
      </c>
      <c r="F72"/>
    </row>
    <row r="73" spans="2:6" hidden="1" x14ac:dyDescent="0.25">
      <c r="B73" s="48" t="s">
        <v>194</v>
      </c>
      <c r="C73" s="48" t="s">
        <v>125</v>
      </c>
      <c r="D73" s="80">
        <v>0.95399999999999996</v>
      </c>
      <c r="F73"/>
    </row>
    <row r="74" spans="2:6" hidden="1" x14ac:dyDescent="0.25">
      <c r="B74" s="48" t="s">
        <v>195</v>
      </c>
      <c r="C74" s="49" t="s">
        <v>130</v>
      </c>
      <c r="D74" s="80">
        <v>0.97799999999999998</v>
      </c>
      <c r="F74"/>
    </row>
    <row r="75" spans="2:6" hidden="1" x14ac:dyDescent="0.25">
      <c r="B75" s="48" t="s">
        <v>196</v>
      </c>
      <c r="C75" s="49" t="s">
        <v>130</v>
      </c>
      <c r="D75" s="80">
        <v>0.97799999999999998</v>
      </c>
      <c r="F75"/>
    </row>
    <row r="76" spans="2:6" hidden="1" x14ac:dyDescent="0.25">
      <c r="B76" s="48" t="s">
        <v>197</v>
      </c>
      <c r="C76" s="49" t="s">
        <v>134</v>
      </c>
      <c r="D76" s="80">
        <v>1.01</v>
      </c>
      <c r="F76"/>
    </row>
    <row r="77" spans="2:6" hidden="1" x14ac:dyDescent="0.25">
      <c r="B77" s="48" t="s">
        <v>198</v>
      </c>
      <c r="C77" s="49" t="s">
        <v>130</v>
      </c>
      <c r="D77" s="80">
        <v>0.97799999999999998</v>
      </c>
      <c r="F77"/>
    </row>
    <row r="78" spans="2:6" hidden="1" x14ac:dyDescent="0.25">
      <c r="B78" s="48" t="s">
        <v>199</v>
      </c>
      <c r="C78" s="48" t="s">
        <v>125</v>
      </c>
      <c r="D78" s="80">
        <v>0.95399999999999996</v>
      </c>
      <c r="F78"/>
    </row>
    <row r="79" spans="2:6" hidden="1" x14ac:dyDescent="0.25">
      <c r="B79" s="48" t="s">
        <v>200</v>
      </c>
      <c r="C79" s="49" t="s">
        <v>136</v>
      </c>
      <c r="D79" s="80">
        <v>0.97699999999999998</v>
      </c>
      <c r="F79"/>
    </row>
    <row r="80" spans="2:6" hidden="1" x14ac:dyDescent="0.25">
      <c r="B80" s="48" t="s">
        <v>201</v>
      </c>
      <c r="C80" s="48" t="s">
        <v>123</v>
      </c>
      <c r="D80" s="80">
        <v>1.0169999999999999</v>
      </c>
      <c r="F80"/>
    </row>
    <row r="81" spans="2:6" hidden="1" x14ac:dyDescent="0.25">
      <c r="B81" s="48" t="s">
        <v>202</v>
      </c>
      <c r="C81" s="49" t="s">
        <v>123</v>
      </c>
      <c r="D81" s="80">
        <v>1.0169999999999999</v>
      </c>
      <c r="F81"/>
    </row>
    <row r="82" spans="2:6" hidden="1" x14ac:dyDescent="0.25">
      <c r="B82" s="48" t="s">
        <v>203</v>
      </c>
      <c r="C82" s="49" t="s">
        <v>123</v>
      </c>
      <c r="D82" s="80">
        <v>1.0169999999999999</v>
      </c>
      <c r="F82"/>
    </row>
    <row r="83" spans="2:6" hidden="1" x14ac:dyDescent="0.25">
      <c r="B83" s="48" t="s">
        <v>204</v>
      </c>
      <c r="C83" s="49" t="s">
        <v>128</v>
      </c>
      <c r="D83" s="80">
        <v>0.996</v>
      </c>
      <c r="F83"/>
    </row>
    <row r="84" spans="2:6" hidden="1" x14ac:dyDescent="0.25">
      <c r="B84" s="48" t="s">
        <v>205</v>
      </c>
      <c r="C84" s="49" t="s">
        <v>134</v>
      </c>
      <c r="D84" s="80">
        <v>1.01</v>
      </c>
      <c r="F84"/>
    </row>
    <row r="85" spans="2:6" hidden="1" x14ac:dyDescent="0.25">
      <c r="B85" s="48" t="s">
        <v>206</v>
      </c>
      <c r="C85" s="48" t="s">
        <v>125</v>
      </c>
      <c r="D85" s="80">
        <v>0.95399999999999996</v>
      </c>
      <c r="F85"/>
    </row>
    <row r="86" spans="2:6" hidden="1" x14ac:dyDescent="0.25">
      <c r="B86" s="48" t="s">
        <v>207</v>
      </c>
      <c r="C86" s="49" t="s">
        <v>130</v>
      </c>
      <c r="D86" s="80">
        <v>0.97799999999999998</v>
      </c>
      <c r="F86"/>
    </row>
    <row r="87" spans="2:6" hidden="1" x14ac:dyDescent="0.25">
      <c r="B87" s="48" t="s">
        <v>208</v>
      </c>
      <c r="C87" s="48" t="s">
        <v>125</v>
      </c>
      <c r="D87" s="80">
        <v>0.95399999999999996</v>
      </c>
      <c r="F87"/>
    </row>
    <row r="88" spans="2:6" hidden="1" x14ac:dyDescent="0.25">
      <c r="B88" s="48" t="s">
        <v>209</v>
      </c>
      <c r="C88" s="48" t="s">
        <v>125</v>
      </c>
      <c r="D88" s="80">
        <v>0.95399999999999996</v>
      </c>
      <c r="F88"/>
    </row>
    <row r="89" spans="2:6" hidden="1" x14ac:dyDescent="0.25">
      <c r="B89" s="48" t="s">
        <v>210</v>
      </c>
      <c r="C89" s="49" t="s">
        <v>149</v>
      </c>
      <c r="D89" s="80">
        <v>1.006</v>
      </c>
      <c r="F89"/>
    </row>
    <row r="90" spans="2:6" hidden="1" x14ac:dyDescent="0.25">
      <c r="B90" s="48" t="s">
        <v>211</v>
      </c>
      <c r="C90" s="48" t="s">
        <v>125</v>
      </c>
      <c r="D90" s="80">
        <v>0.95399999999999996</v>
      </c>
      <c r="F90"/>
    </row>
    <row r="91" spans="2:6" hidden="1" x14ac:dyDescent="0.25">
      <c r="B91" s="48" t="s">
        <v>212</v>
      </c>
      <c r="C91" s="49" t="s">
        <v>134</v>
      </c>
      <c r="D91" s="80">
        <v>1.01</v>
      </c>
      <c r="F91"/>
    </row>
    <row r="92" spans="2:6" hidden="1" x14ac:dyDescent="0.25">
      <c r="B92" s="48" t="s">
        <v>213</v>
      </c>
      <c r="C92" s="48" t="s">
        <v>123</v>
      </c>
      <c r="D92" s="80">
        <v>1.0169999999999999</v>
      </c>
      <c r="F92"/>
    </row>
    <row r="93" spans="2:6" hidden="1" x14ac:dyDescent="0.25">
      <c r="B93" s="48" t="s">
        <v>214</v>
      </c>
      <c r="C93" s="49" t="s">
        <v>134</v>
      </c>
      <c r="D93" s="80">
        <v>1.01</v>
      </c>
      <c r="F93"/>
    </row>
    <row r="94" spans="2:6" hidden="1" x14ac:dyDescent="0.25">
      <c r="B94" s="48" t="s">
        <v>215</v>
      </c>
      <c r="C94" s="48" t="s">
        <v>125</v>
      </c>
      <c r="D94" s="80">
        <v>0.95399999999999996</v>
      </c>
      <c r="F94"/>
    </row>
    <row r="95" spans="2:6" hidden="1" x14ac:dyDescent="0.25">
      <c r="B95" s="48" t="s">
        <v>216</v>
      </c>
      <c r="C95" s="49" t="s">
        <v>134</v>
      </c>
      <c r="D95" s="80">
        <v>1.01</v>
      </c>
      <c r="F95"/>
    </row>
    <row r="96" spans="2:6" hidden="1" x14ac:dyDescent="0.25">
      <c r="B96" s="48" t="s">
        <v>217</v>
      </c>
      <c r="C96" s="49" t="s">
        <v>123</v>
      </c>
      <c r="D96" s="80">
        <v>1.0169999999999999</v>
      </c>
      <c r="F96"/>
    </row>
    <row r="97" spans="2:6" hidden="1" x14ac:dyDescent="0.25">
      <c r="B97" s="60" t="s">
        <v>218</v>
      </c>
      <c r="C97" s="61" t="s">
        <v>130</v>
      </c>
      <c r="D97" s="81">
        <v>0.97799999999999998</v>
      </c>
      <c r="F97"/>
    </row>
    <row r="98" spans="2:6" hidden="1" x14ac:dyDescent="0.25">
      <c r="B98" s="62" t="s">
        <v>219</v>
      </c>
      <c r="C98" s="62" t="s">
        <v>125</v>
      </c>
      <c r="D98" s="82">
        <v>0.95399999999999996</v>
      </c>
    </row>
    <row r="99" spans="2:6" hidden="1" x14ac:dyDescent="0.25">
      <c r="B99" s="62" t="s">
        <v>220</v>
      </c>
      <c r="C99" s="62" t="s">
        <v>125</v>
      </c>
      <c r="D99" s="82">
        <v>0.95399999999999996</v>
      </c>
    </row>
    <row r="100" spans="2:6" hidden="1" x14ac:dyDescent="0.25">
      <c r="B100" s="62" t="s">
        <v>221</v>
      </c>
      <c r="C100" s="62" t="s">
        <v>130</v>
      </c>
      <c r="D100" s="82">
        <v>0.97799999999999998</v>
      </c>
    </row>
    <row r="101" spans="2:6" hidden="1" x14ac:dyDescent="0.25">
      <c r="B101" s="62" t="s">
        <v>222</v>
      </c>
      <c r="C101" s="62" t="s">
        <v>123</v>
      </c>
      <c r="D101" s="82">
        <v>1.0169999999999999</v>
      </c>
    </row>
    <row r="102" spans="2:6" hidden="1" x14ac:dyDescent="0.25">
      <c r="B102" s="62" t="s">
        <v>223</v>
      </c>
      <c r="C102" s="62" t="s">
        <v>130</v>
      </c>
      <c r="D102" s="82">
        <v>0.97799999999999998</v>
      </c>
    </row>
    <row r="103" spans="2:6" hidden="1" x14ac:dyDescent="0.25">
      <c r="B103" s="62" t="s">
        <v>224</v>
      </c>
      <c r="C103" s="62" t="s">
        <v>123</v>
      </c>
      <c r="D103" s="82">
        <v>1.0169999999999999</v>
      </c>
    </row>
    <row r="104" spans="2:6" hidden="1" x14ac:dyDescent="0.25">
      <c r="B104" s="62" t="s">
        <v>225</v>
      </c>
      <c r="C104" s="62" t="s">
        <v>121</v>
      </c>
      <c r="D104" s="82">
        <v>0.97099999999999997</v>
      </c>
    </row>
    <row r="105" spans="2:6" hidden="1" x14ac:dyDescent="0.25">
      <c r="B105" s="62" t="s">
        <v>226</v>
      </c>
      <c r="C105" s="62" t="s">
        <v>136</v>
      </c>
      <c r="D105" s="82">
        <v>0.97699999999999998</v>
      </c>
    </row>
    <row r="106" spans="2:6" hidden="1" x14ac:dyDescent="0.25">
      <c r="B106" s="62" t="s">
        <v>227</v>
      </c>
      <c r="C106" s="62" t="s">
        <v>125</v>
      </c>
      <c r="D106" s="83">
        <v>0.95399999999999996</v>
      </c>
    </row>
    <row r="107" spans="2:6" hidden="1" x14ac:dyDescent="0.25">
      <c r="B107" s="62" t="s">
        <v>228</v>
      </c>
      <c r="C107" s="62" t="s">
        <v>121</v>
      </c>
      <c r="D107" s="82">
        <v>0.97099999999999997</v>
      </c>
    </row>
    <row r="108" spans="2:6" hidden="1" x14ac:dyDescent="0.25">
      <c r="B108" s="62" t="s">
        <v>229</v>
      </c>
      <c r="C108" s="62" t="s">
        <v>134</v>
      </c>
      <c r="D108" s="82">
        <v>1.01</v>
      </c>
    </row>
  </sheetData>
  <sheetProtection algorithmName="SHA-512" hashValue="Esx2xJEPwPwXDBMLXamniSU7++dsipsEI/C9MnXFH7aJD51xJWutsgLWU1J4REsRBf4RPeqUH3qYHW/gniJ6Og==" saltValue="SEnqmqOgJXytQAAWDR0gS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 xr:uid="{00000000-0002-0000-0100-000000000000}">
      <formula1>$B$10:$B$97</formula1>
    </dataValidation>
    <dataValidation type="list" allowBlank="1" showInputMessage="1" showErrorMessage="1" prompt="Select the County of Residence to determine the Regional Variance Factor for this service." sqref="B4:D4" xr:uid="{00000000-0002-0000-0100-000001000000}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Normal="100" workbookViewId="0">
      <selection activeCell="M8" sqref="M8"/>
    </sheetView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230</v>
      </c>
    </row>
    <row r="2" spans="1:4" customFormat="1" x14ac:dyDescent="0.25"/>
    <row r="3" spans="1:4" customFormat="1" x14ac:dyDescent="0.25">
      <c r="A3" s="1" t="s">
        <v>231</v>
      </c>
    </row>
    <row r="4" spans="1:4" customFormat="1" x14ac:dyDescent="0.25">
      <c r="A4" s="22" t="s">
        <v>232</v>
      </c>
      <c r="B4" s="23">
        <f>'Direct Staffing'!B92:E92</f>
        <v>0</v>
      </c>
    </row>
    <row r="5" spans="1:4" customFormat="1" x14ac:dyDescent="0.25"/>
    <row r="6" spans="1:4" customFormat="1" x14ac:dyDescent="0.25">
      <c r="A6" s="1" t="s">
        <v>233</v>
      </c>
    </row>
    <row r="7" spans="1:4" customFormat="1" x14ac:dyDescent="0.25">
      <c r="A7" s="22" t="s">
        <v>234</v>
      </c>
      <c r="B7" s="24">
        <f>'Direct Staffing'!B93</f>
        <v>0</v>
      </c>
    </row>
    <row r="8" spans="1:4" customFormat="1" x14ac:dyDescent="0.25">
      <c r="A8" s="2"/>
      <c r="B8" s="25"/>
    </row>
    <row r="9" spans="1:4" x14ac:dyDescent="0.25">
      <c r="A9" s="13" t="s">
        <v>235</v>
      </c>
      <c r="B9" s="27">
        <v>0.15</v>
      </c>
    </row>
    <row r="10" spans="1:4" x14ac:dyDescent="0.25">
      <c r="A10" s="26" t="s">
        <v>236</v>
      </c>
      <c r="B10" s="28">
        <f>'Direct Staffing'!H89-B4</f>
        <v>0</v>
      </c>
    </row>
    <row r="11" spans="1:4" x14ac:dyDescent="0.25">
      <c r="A11" s="50"/>
      <c r="B11" s="51"/>
    </row>
    <row r="12" spans="1:4" x14ac:dyDescent="0.25">
      <c r="A12" s="29" t="s">
        <v>237</v>
      </c>
    </row>
    <row r="13" spans="1:4" x14ac:dyDescent="0.25">
      <c r="A13" s="30" t="s">
        <v>238</v>
      </c>
      <c r="B13" s="57" t="str">
        <f>'Regional Variance Factor'!B7</f>
        <v>-</v>
      </c>
      <c r="D13" s="58" t="str">
        <f>IF((B13&lt;&gt;"-"),(B13*(B4+B10)),"Select County")</f>
        <v>Select County</v>
      </c>
    </row>
    <row r="15" spans="1:4" x14ac:dyDescent="0.25">
      <c r="A15" s="29" t="s">
        <v>239</v>
      </c>
    </row>
    <row r="16" spans="1:4" x14ac:dyDescent="0.25">
      <c r="A16" s="30" t="s">
        <v>240</v>
      </c>
      <c r="B16" s="63" t="str">
        <f>D16</f>
        <v>Select County</v>
      </c>
      <c r="D16" s="58" t="str">
        <f>IF((B13&lt;&gt;"-"),(D13),"Select County")</f>
        <v>Select County</v>
      </c>
    </row>
    <row r="17" spans="1:5" ht="13.15" customHeight="1" x14ac:dyDescent="0.25"/>
    <row r="18" spans="1:5" s="69" customFormat="1" hidden="1" x14ac:dyDescent="0.25">
      <c r="A18" s="66" t="s">
        <v>241</v>
      </c>
      <c r="B18" s="67">
        <v>1</v>
      </c>
      <c r="C18" s="68"/>
      <c r="D18" s="68"/>
      <c r="E18" s="68"/>
    </row>
    <row r="19" spans="1:5" s="69" customFormat="1" hidden="1" x14ac:dyDescent="0.25">
      <c r="A19" s="70" t="s">
        <v>242</v>
      </c>
      <c r="B19" s="71" t="str">
        <f>IF((B13&lt;&gt;"-"),B22-B16,"-")</f>
        <v>-</v>
      </c>
      <c r="C19" s="68"/>
      <c r="D19" s="68"/>
      <c r="E19" s="68"/>
    </row>
    <row r="20" spans="1:5" s="69" customFormat="1" hidden="1" x14ac:dyDescent="0.25">
      <c r="C20" s="68"/>
      <c r="D20" s="68"/>
      <c r="E20" s="68"/>
    </row>
    <row r="21" spans="1:5" x14ac:dyDescent="0.25">
      <c r="A21" s="13" t="s">
        <v>243</v>
      </c>
    </row>
    <row r="22" spans="1:5" x14ac:dyDescent="0.25">
      <c r="A22" s="4" t="s">
        <v>244</v>
      </c>
      <c r="B22" s="63" t="str">
        <f>IF((B13&lt;&gt;"-"),ROUND(B16*B18,5),"Select County")</f>
        <v>Select County</v>
      </c>
    </row>
    <row r="23" spans="1:5" hidden="1" x14ac:dyDescent="0.25"/>
    <row r="24" spans="1:5" hidden="1" x14ac:dyDescent="0.25">
      <c r="A24" s="13" t="s">
        <v>245</v>
      </c>
      <c r="B24" s="5">
        <v>0.01</v>
      </c>
    </row>
    <row r="25" spans="1:5" hidden="1" x14ac:dyDescent="0.25">
      <c r="A25" s="30" t="s">
        <v>246</v>
      </c>
      <c r="B25" s="59" t="str">
        <f>IF((B13&lt;&gt;"-"),B24*B22,"-")</f>
        <v>-</v>
      </c>
    </row>
    <row r="26" spans="1:5" hidden="1" x14ac:dyDescent="0.25"/>
    <row r="27" spans="1:5" hidden="1" x14ac:dyDescent="0.25">
      <c r="A27" s="13" t="s">
        <v>247</v>
      </c>
    </row>
    <row r="28" spans="1:5" hidden="1" x14ac:dyDescent="0.25">
      <c r="A28" s="4" t="s">
        <v>248</v>
      </c>
      <c r="B28" s="59" t="str">
        <f>IF((B13&lt;&gt;"-"),ROUND(B22+B25,5),"-")</f>
        <v>-</v>
      </c>
    </row>
    <row r="29" spans="1:5" hidden="1" x14ac:dyDescent="0.25"/>
    <row r="30" spans="1:5" hidden="1" x14ac:dyDescent="0.25">
      <c r="A30" s="13" t="s">
        <v>249</v>
      </c>
      <c r="B30" s="5">
        <v>0.05</v>
      </c>
    </row>
    <row r="31" spans="1:5" hidden="1" x14ac:dyDescent="0.25">
      <c r="A31" s="30" t="s">
        <v>246</v>
      </c>
      <c r="B31" s="59" t="str">
        <f>IF((B13&lt;&gt;"-"),B30*B28,"-")</f>
        <v>-</v>
      </c>
    </row>
    <row r="32" spans="1:5" hidden="1" x14ac:dyDescent="0.25"/>
    <row r="33" spans="1:2" hidden="1" x14ac:dyDescent="0.25">
      <c r="A33" s="13" t="s">
        <v>250</v>
      </c>
    </row>
    <row r="34" spans="1:2" hidden="1" x14ac:dyDescent="0.25">
      <c r="A34" s="4" t="s">
        <v>248</v>
      </c>
      <c r="B34" s="59" t="str">
        <f>IF((B13&lt;&gt;"-"),ROUND(B28+B31,5),"-")</f>
        <v>-</v>
      </c>
    </row>
    <row r="35" spans="1:2" hidden="1" x14ac:dyDescent="0.25"/>
    <row r="36" spans="1:2" hidden="1" x14ac:dyDescent="0.25">
      <c r="A36" s="13" t="s">
        <v>251</v>
      </c>
      <c r="B36" s="5">
        <v>0.01</v>
      </c>
    </row>
    <row r="37" spans="1:2" hidden="1" x14ac:dyDescent="0.25">
      <c r="A37" s="30" t="s">
        <v>246</v>
      </c>
      <c r="B37" s="59" t="str">
        <f>IF((B13&lt;&gt;"-"),B36*B34,"-")</f>
        <v>-</v>
      </c>
    </row>
    <row r="38" spans="1:2" hidden="1" x14ac:dyDescent="0.25"/>
    <row r="39" spans="1:2" hidden="1" x14ac:dyDescent="0.25">
      <c r="A39" s="13" t="s">
        <v>252</v>
      </c>
    </row>
    <row r="40" spans="1:2" hidden="1" x14ac:dyDescent="0.25">
      <c r="A40" s="4" t="s">
        <v>248</v>
      </c>
      <c r="B40" s="28" t="str">
        <f>IF((B13&lt;&gt;"-"),B34+B37,"-")</f>
        <v>-</v>
      </c>
    </row>
  </sheetData>
  <sheetProtection algorithmName="SHA-512" hashValue="3mmJ3k4Hh2rikbt3nrSVAuejIoxwuAG65kb7XX97vbqSahkbAxnj6MMSc4ZXFLWPK1FUm4AoFZjTRYgDC783pQ==" saltValue="tyaM7uu0lNEqG9VGe7M50A==" spinCount="100000" sheet="1" objects="1" scenarios="1"/>
  <dataValidations xWindow="418" yWindow="412" count="11">
    <dataValidation allowBlank="1" showInputMessage="1" showErrorMessage="1" prompt="Direct Staffing Rate formula is equal to Total Rate from Direct Staffing sheet" sqref="B4" xr:uid="{00000000-0002-0000-0200-000000000000}"/>
    <dataValidation allowBlank="1" showInputMessage="1" showErrorMessage="1" prompt="Number of Eligible Units formula is equal to Eligible Units from Direct Staffing sheet" sqref="B7" xr:uid="{00000000-0002-0000-0200-000001000000}"/>
    <dataValidation allowBlank="1" showInputMessage="1" showErrorMessage="1" prompt="Disability Factor" sqref="B9" xr:uid="{00000000-0002-0000-0200-000002000000}"/>
    <dataValidation allowBlank="1" showInputMessage="1" showErrorMessage="1" prompt="Disability Factor Amount is equal to rate for eligible units times Disability Factor" sqref="B10:B11" xr:uid="{00000000-0002-0000-0200-000003000000}"/>
    <dataValidation allowBlank="1" showInputMessage="1" showErrorMessage="1" prompt="Unit Rate Amount formula is equal to Direct Staffing Rate plus Disability Factor Amount" sqref="B16 B13" xr:uid="{00000000-0002-0000-0200-000004000000}"/>
    <dataValidation allowBlank="1" showInputMessage="1" showErrorMessage="1" prompt="Budget Neutrality Factor" sqref="B18" xr:uid="{00000000-0002-0000-0200-000005000000}"/>
    <dataValidation allowBlank="1" showInputMessage="1" showErrorMessage="1" prompt="Unit Budget Neutrality formula is Total Unit Rate minus Unit Rate Amount" sqref="B19" xr:uid="{00000000-0002-0000-0200-000006000000}"/>
    <dataValidation allowBlank="1" showInputMessage="1" showErrorMessage="1" prompt="Post COLA Rate formula is Original Total Rate plus Cost of Living Adjustment" sqref="B28 B34 B40" xr:uid="{00000000-0002-0000-0200-000007000000}"/>
    <dataValidation allowBlank="1" showInputMessage="1" showErrorMessage="1" prompt="Original Total Unit Rate formula is Unit Rate Amount times Budget Neutrality Factor" sqref="B22" xr:uid="{00000000-0002-0000-0200-000008000000}"/>
    <dataValidation allowBlank="1" showInputMessage="1" showErrorMessage="1" prompt="Cost of Living Adjustment formula is Original Total Unit Rate multiplied by COLA" sqref="B37 B25 B31" xr:uid="{00000000-0002-0000-0200-000009000000}"/>
    <dataValidation allowBlank="1" showInputMessage="1" showErrorMessage="1" prompt="4/1/2014 COLA" sqref="B24 B30 B36" xr:uid="{00000000-0002-0000-0200-00000A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3"/>
  <sheetViews>
    <sheetView workbookViewId="0">
      <selection activeCell="D23" sqref="D23"/>
    </sheetView>
  </sheetViews>
  <sheetFormatPr defaultRowHeight="15" x14ac:dyDescent="0.25"/>
  <cols>
    <col min="1" max="1" width="14.140625" style="64" customWidth="1"/>
    <col min="2" max="2" width="40.140625" style="39" customWidth="1"/>
    <col min="3" max="3" width="20.5703125" customWidth="1"/>
  </cols>
  <sheetData>
    <row r="2" spans="1:3" ht="19.5" customHeight="1" x14ac:dyDescent="0.25"/>
    <row r="4" spans="1:3" s="69" customFormat="1" x14ac:dyDescent="0.25">
      <c r="A4" s="73">
        <v>41975</v>
      </c>
      <c r="B4" s="72" t="s">
        <v>253</v>
      </c>
      <c r="C4" s="69" t="s">
        <v>254</v>
      </c>
    </row>
    <row r="5" spans="1:3" x14ac:dyDescent="0.25">
      <c r="A5" s="64">
        <v>41684</v>
      </c>
      <c r="B5" s="39" t="s">
        <v>255</v>
      </c>
      <c r="C5" t="s">
        <v>254</v>
      </c>
    </row>
    <row r="6" spans="1:3" ht="30" x14ac:dyDescent="0.25">
      <c r="A6" s="64">
        <v>41684</v>
      </c>
      <c r="B6" s="39" t="s">
        <v>256</v>
      </c>
      <c r="C6" t="s">
        <v>254</v>
      </c>
    </row>
    <row r="7" spans="1:3" ht="30" x14ac:dyDescent="0.25">
      <c r="A7" s="64">
        <v>41684</v>
      </c>
      <c r="B7" s="39" t="s">
        <v>257</v>
      </c>
      <c r="C7" t="s">
        <v>254</v>
      </c>
    </row>
    <row r="8" spans="1:3" ht="30" x14ac:dyDescent="0.25">
      <c r="A8" s="64">
        <v>41709</v>
      </c>
      <c r="B8" s="39" t="s">
        <v>258</v>
      </c>
      <c r="C8" t="s">
        <v>259</v>
      </c>
    </row>
    <row r="9" spans="1:3" ht="30" x14ac:dyDescent="0.25">
      <c r="A9" s="64">
        <v>41808</v>
      </c>
      <c r="B9" s="39" t="s">
        <v>260</v>
      </c>
      <c r="C9" t="s">
        <v>261</v>
      </c>
    </row>
    <row r="10" spans="1:3" x14ac:dyDescent="0.25">
      <c r="A10" s="64">
        <v>42164</v>
      </c>
      <c r="B10" s="39" t="s">
        <v>262</v>
      </c>
      <c r="C10" t="s">
        <v>263</v>
      </c>
    </row>
    <row r="11" spans="1:3" ht="30" x14ac:dyDescent="0.25">
      <c r="A11" s="64">
        <v>43466</v>
      </c>
      <c r="B11" s="39" t="s">
        <v>264</v>
      </c>
      <c r="C11" t="s">
        <v>265</v>
      </c>
    </row>
    <row r="12" spans="1:3" x14ac:dyDescent="0.25">
      <c r="A12" s="64">
        <v>43831</v>
      </c>
      <c r="B12" t="s">
        <v>266</v>
      </c>
      <c r="C12" s="65" t="s">
        <v>267</v>
      </c>
    </row>
    <row r="13" spans="1:3" x14ac:dyDescent="0.25">
      <c r="A13" s="64">
        <v>44197</v>
      </c>
      <c r="B13" s="39" t="s">
        <v>268</v>
      </c>
      <c r="C13" s="65" t="s">
        <v>269</v>
      </c>
    </row>
    <row r="14" spans="1:3" ht="39" x14ac:dyDescent="0.25">
      <c r="A14" s="64">
        <v>44280</v>
      </c>
      <c r="B14" s="74" t="s">
        <v>270</v>
      </c>
      <c r="C14" s="65" t="s">
        <v>271</v>
      </c>
    </row>
    <row r="15" spans="1:3" x14ac:dyDescent="0.25">
      <c r="A15" s="64">
        <v>44378</v>
      </c>
      <c r="B15" s="39" t="s">
        <v>268</v>
      </c>
      <c r="C15" s="65" t="s">
        <v>272</v>
      </c>
    </row>
    <row r="16" spans="1:3" ht="75" x14ac:dyDescent="0.25">
      <c r="A16" s="64">
        <v>44562</v>
      </c>
      <c r="B16" s="39" t="s">
        <v>273</v>
      </c>
      <c r="C16" s="65" t="s">
        <v>274</v>
      </c>
    </row>
    <row r="17" spans="1:3" x14ac:dyDescent="0.25">
      <c r="A17" s="64">
        <v>44720</v>
      </c>
      <c r="B17" s="39" t="s">
        <v>275</v>
      </c>
      <c r="C17" s="65" t="s">
        <v>276</v>
      </c>
    </row>
    <row r="18" spans="1:3" x14ac:dyDescent="0.25">
      <c r="A18" s="64">
        <v>44844</v>
      </c>
      <c r="B18" s="39" t="s">
        <v>277</v>
      </c>
      <c r="C18" s="65" t="s">
        <v>278</v>
      </c>
    </row>
    <row r="19" spans="1:3" ht="30" x14ac:dyDescent="0.25">
      <c r="A19" s="64">
        <v>45246</v>
      </c>
      <c r="B19" s="39" t="s">
        <v>279</v>
      </c>
      <c r="C19" s="65" t="s">
        <v>280</v>
      </c>
    </row>
    <row r="20" spans="1:3" x14ac:dyDescent="0.25">
      <c r="A20" s="64">
        <v>45560</v>
      </c>
      <c r="B20" s="39" t="s">
        <v>281</v>
      </c>
      <c r="C20" s="65" t="s">
        <v>282</v>
      </c>
    </row>
    <row r="21" spans="1:3" x14ac:dyDescent="0.25">
      <c r="A21" s="64">
        <v>45636</v>
      </c>
      <c r="B21" s="39" t="s">
        <v>283</v>
      </c>
      <c r="C21" s="65" t="s">
        <v>282</v>
      </c>
    </row>
    <row r="22" spans="1:3" ht="30" x14ac:dyDescent="0.25">
      <c r="A22" s="64">
        <v>45693</v>
      </c>
      <c r="B22" s="39" t="s">
        <v>284</v>
      </c>
      <c r="C22" s="65" t="s">
        <v>285</v>
      </c>
    </row>
    <row r="23" spans="1:3" x14ac:dyDescent="0.25">
      <c r="A23" s="64">
        <v>45706</v>
      </c>
      <c r="B23" s="39" t="s">
        <v>286</v>
      </c>
      <c r="C23" s="65" t="s">
        <v>287</v>
      </c>
    </row>
  </sheetData>
  <sheetProtection algorithmName="SHA-512" hashValue="GUsy1ReIitvQBPTXgyTapWqGonCU52yHFYQwVD0Z8ydPmbFKnpU6z8bZnyhan+gY6UQf8IZm98K74Spbuy4VoA==" saltValue="atPxSzokQ0Rdm6aahgbk1w==" spinCount="100000" sheet="1" objects="1" scenarios="1"/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4A1C4B84D142849781FF14FFC973" ma:contentTypeVersion="6" ma:contentTypeDescription="Create a new document." ma:contentTypeScope="" ma:versionID="0e77e876566c345d0a3f9cb488c2229c">
  <xsd:schema xmlns:xsd="http://www.w3.org/2001/XMLSchema" xmlns:xs="http://www.w3.org/2001/XMLSchema" xmlns:p="http://schemas.microsoft.com/office/2006/metadata/properties" xmlns:ns2="5ece928b-acca-4d90-9e31-21af6e796eb0" xmlns:ns3="3894ec02-69ce-489c-8ba0-cb10c0862c49" targetNamespace="http://schemas.microsoft.com/office/2006/metadata/properties" ma:root="true" ma:fieldsID="f21255f4ec7e52ec8a6d78fd9166e057" ns2:_="" ns3:_="">
    <xsd:import namespace="5ece928b-acca-4d90-9e31-21af6e796eb0"/>
    <xsd:import namespace="3894ec02-69ce-489c-8ba0-cb10c0862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e928b-acca-4d90-9e31-21af6e796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4ec02-69ce-489c-8ba0-cb10c0862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2471E-53C3-4032-B081-4749EBC0B0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052514-CD07-4CBF-A9D8-E1489CD9A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e928b-acca-4d90-9e31-21af6e796eb0"/>
    <ds:schemaRef ds:uri="3894ec02-69ce-489c-8ba0-cb10c0862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Manager/>
  <Company>Minnesota Dept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Customized Living v17</dc:title>
  <dc:subject/>
  <dc:creator>Kelly Van Ranst</dc:creator>
  <cp:keywords/>
  <dc:description/>
  <cp:lastModifiedBy>Koepsell, Sara (DHS)</cp:lastModifiedBy>
  <cp:revision/>
  <dcterms:created xsi:type="dcterms:W3CDTF">2013-07-22T17:55:39Z</dcterms:created>
  <dcterms:modified xsi:type="dcterms:W3CDTF">2025-02-18T14:52:30Z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0x01010077994A1C4B84D142849781FF14FFC973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