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186EE43F-8752-43D1-9C5B-86836B1A0BBF}"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4" l="1"/>
  <c r="B5" i="14"/>
  <c r="F5" i="11"/>
  <c r="C6" i="10" l="1"/>
  <c r="C10" i="10" s="1"/>
  <c r="E10" i="10" s="1"/>
  <c r="F10" i="10" s="1"/>
  <c r="I12" i="10"/>
  <c r="I11" i="10"/>
  <c r="I10" i="10"/>
  <c r="I9" i="10"/>
  <c r="I8" i="10"/>
  <c r="I7" i="10"/>
  <c r="B7" i="16"/>
  <c r="B25" i="9" s="1"/>
  <c r="B5" i="16"/>
  <c r="D23" i="10"/>
  <c r="D27" i="10"/>
  <c r="I6" i="10"/>
  <c r="I5" i="10"/>
  <c r="I4" i="10"/>
  <c r="I3" i="10"/>
  <c r="E14" i="10"/>
  <c r="F14" i="10"/>
  <c r="D18" i="10"/>
  <c r="E18" i="10"/>
  <c r="F18" i="10"/>
  <c r="C7" i="13"/>
  <c r="E7" i="13" s="1"/>
  <c r="C6" i="13"/>
  <c r="E6" i="13"/>
  <c r="C5" i="13"/>
  <c r="E5" i="13" s="1"/>
  <c r="E8" i="13" s="1"/>
  <c r="B16" i="9" s="1"/>
  <c r="D16" i="9" s="1"/>
  <c r="C9" i="11"/>
  <c r="B13" i="9" s="1"/>
  <c r="E8" i="6"/>
  <c r="B22" i="9"/>
  <c r="B7" i="9"/>
  <c r="C19" i="3"/>
  <c r="B10" i="9"/>
  <c r="A5" i="14"/>
  <c r="C5" i="14" s="1"/>
  <c r="B19" i="9" s="1"/>
  <c r="D19" i="9" s="1"/>
  <c r="B48" i="9" l="1"/>
  <c r="B33" i="9"/>
  <c r="B36" i="9"/>
  <c r="D27" i="9"/>
  <c r="B27" i="9" s="1"/>
  <c r="B51" i="9"/>
  <c r="B39" i="9"/>
  <c r="B42" i="9"/>
  <c r="B30" i="9"/>
  <c r="D25" i="9"/>
  <c r="B45" i="9"/>
  <c r="D31" i="10"/>
  <c r="C34" i="10" s="1"/>
  <c r="B4" i="9" s="1"/>
  <c r="D4" i="9" s="1"/>
  <c r="D7" i="9" l="1"/>
  <c r="D10" i="9" s="1"/>
  <c r="D13" i="9" l="1"/>
  <c r="E22" i="9" s="1"/>
  <c r="D22" i="9" l="1"/>
  <c r="E25" i="9"/>
</calcChain>
</file>

<file path=xl/sharedStrings.xml><?xml version="1.0" encoding="utf-8"?>
<sst xmlns="http://schemas.openxmlformats.org/spreadsheetml/2006/main" count="381" uniqueCount="272">
  <si>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</si>
  <si>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</si>
  <si>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</si>
  <si>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</si>
  <si>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</si>
  <si>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</si>
  <si>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</si>
  <si>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</si>
  <si>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</si>
  <si>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</si>
  <si>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</si>
  <si>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</si>
  <si>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</si>
  <si>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</si>
  <si>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</si>
  <si>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</si>
  <si>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</si>
  <si>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</si>
  <si>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</si>
  <si>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</si>
  <si>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</si>
  <si>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</si>
  <si>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</si>
  <si>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</si>
  <si>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</si>
  <si>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</si>
  <si>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</si>
  <si>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</si>
  <si>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</si>
  <si>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</si>
  <si>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</si>
  <si>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</si>
  <si>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</si>
  <si>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</si>
  <si>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</si>
  <si>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</si>
  <si>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</si>
  <si>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</si>
  <si>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</si>
  <si>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</si>
  <si>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</si>
  <si>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</si>
  <si>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</si>
  <si>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</si>
  <si>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</si>
  <si>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</si>
  <si>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</si>
  <si>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</si>
  <si>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</si>
  <si>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</si>
  <si>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</si>
  <si>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</si>
  <si>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</si>
  <si>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</si>
  <si>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</si>
  <si>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</si>
  <si>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</si>
  <si>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</si>
  <si>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</si>
  <si>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</si>
  <si>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</si>
  <si>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</si>
  <si>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</si>
  <si>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</si>
  <si>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</si>
  <si>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</si>
  <si>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</si>
  <si>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</si>
  <si>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</si>
  <si>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</si>
  <si>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</si>
  <si>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</si>
  <si>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</si>
  <si>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</si>
  <si>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</si>
  <si>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</si>
  <si>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</si>
  <si>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</si>
  <si>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</si>
  <si>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</si>
  <si>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</si>
  <si>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</si>
  <si>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</si>
  <si>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</si>
  <si>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</si>
  <si>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</si>
  <si>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</si>
  <si>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</si>
  <si>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</si>
  <si>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</si>
  <si>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</si>
  <si>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</si>
  <si>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</si>
  <si>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</si>
  <si>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</si>
  <si>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</si>
  <si>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</si>
  <si>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</si>
  <si>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</si>
  <si>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</si>
  <si>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</si>
  <si>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</si>
  <si>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</si>
  <si>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</si>
  <si>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</si>
  <si>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</si>
  <si>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</si>
  <si>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</si>
  <si>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</si>
  <si>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</si>
  <si>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</si>
  <si>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</si>
  <si>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</si>
  <si>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</si>
  <si>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</si>
  <si>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</si>
  <si>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</si>
  <si>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</si>
  <si>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</si>
  <si>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</si>
  <si>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</si>
  <si>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</si>
  <si>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</si>
  <si>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</si>
  <si>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</si>
  <si>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</si>
  <si>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</si>
  <si>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</si>
  <si>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</si>
  <si>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</si>
  <si>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</si>
  <si>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</si>
  <si>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</si>
  <si>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</si>
  <si>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</si>
  <si>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</si>
  <si>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</si>
  <si>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</si>
  <si>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</si>
  <si>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</si>
  <si>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</si>
  <si>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</si>
  <si>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</si>
  <si>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</si>
  <si>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</si>
  <si>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</si>
  <si>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</si>
  <si>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</si>
  <si>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</si>
  <si>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</si>
  <si>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</si>
  <si>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</si>
  <si>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</si>
  <si>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</si>
  <si>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</si>
  <si>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</si>
  <si>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</si>
  <si>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</si>
  <si>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</si>
  <si>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</si>
  <si>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</si>
  <si>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</si>
  <si>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</si>
  <si>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</si>
  <si>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</si>
  <si>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</si>
  <si>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</si>
  <si>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</si>
  <si>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</si>
  <si>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</si>
  <si>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</si>
  <si>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</si>
  <si>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</si>
  <si>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</si>
  <si>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</si>
  <si>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</si>
  <si>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</si>
  <si>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</si>
  <si>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</si>
  <si>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</si>
  <si>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</si>
  <si>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</si>
  <si>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</si>
  <si>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</si>
  <si>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</si>
  <si>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</si>
  <si>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</si>
  <si>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</si>
  <si>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</si>
  <si>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</si>
  <si>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</si>
  <si>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</si>
  <si>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</si>
  <si>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</si>
  <si>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</si>
  <si>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</si>
  <si>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</si>
  <si>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</si>
  <si>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</si>
  <si>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</si>
  <si>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</si>
  <si>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</si>
  <si>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</si>
  <si>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</si>
  <si>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</si>
  <si>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</si>
  <si>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</si>
  <si>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</si>
  <si>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</si>
  <si>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</si>
  <si>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</si>
  <si>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</si>
  <si>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</si>
  <si>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</si>
  <si>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</si>
  <si>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</si>
  <si>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</si>
  <si>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</si>
  <si>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</si>
  <si>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</si>
  <si>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</si>
  <si>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</si>
  <si>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</si>
  <si>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</si>
  <si>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</si>
  <si>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</si>
  <si>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</si>
  <si>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</si>
  <si>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</si>
  <si>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</si>
  <si>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</si>
  <si>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</si>
  <si>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</si>
  <si>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</si>
  <si>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</si>
  <si>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</si>
  <si>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</si>
  <si>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</si>
  <si>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</si>
  <si>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</si>
  <si>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</si>
  <si>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</si>
  <si>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</si>
  <si>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</si>
  <si>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</si>
  <si>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</si>
  <si>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</si>
  <si>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</si>
  <si>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</si>
  <si>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</si>
  <si>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</si>
  <si>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</si>
  <si>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</si>
  <si>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</si>
  <si>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</si>
  <si>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</si>
  <si>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</si>
  <si>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</si>
  <si>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</si>
  <si>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</si>
  <si>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</si>
  <si>
    <t>No change</t>
  </si>
  <si>
    <t>Version 14</t>
  </si>
  <si>
    <t xml:space="preserve">New value for direct care staff wage,supervisor wage,RN wage,LPN wage,client programming and support component and program facility component.
</t>
  </si>
  <si>
    <t>Version 15</t>
  </si>
  <si>
    <t>Updated RVF</t>
  </si>
  <si>
    <t>Version 16</t>
  </si>
  <si>
    <t>Version 17</t>
  </si>
  <si>
    <t>Changes to tabs-direct staffing,client programming,program facility</t>
  </si>
  <si>
    <t>Version 18</t>
  </si>
  <si>
    <t>no change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</si>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</sst>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quot;$&quot;#,##0.00"/>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
      <sz val="8"/>
      <name val="Arial"/>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1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0" fontId="0" fillId="6" borderId="1" xfId="0"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44" fontId="1" fillId="0" borderId="1" xfId="3" applyNumberFormat="1" applyFont="1" applyFill="1" applyBorder="1"/>
    <xf numFmtId="44" fontId="5" fillId="0" borderId="1" xfId="2" applyFont="1" applyFill="1" applyBorder="1"/>
    <xf numFmtId="10" fontId="0" fillId="0" borderId="1" xfId="0" applyNumberFormat="1" applyFill="1" applyBorder="1"/>
    <xf numFmtId="166" fontId="0" fillId="11" borderId="28" xfId="0" applyNumberFormat="1" applyFill="1" applyBorder="1"/>
    <xf numFmtId="166" fontId="0" fillId="11" borderId="29" xfId="0" applyNumberFormat="1" applyFill="1" applyBorder="1"/>
    <xf numFmtId="166" fontId="0" fillId="11" borderId="1" xfId="0" applyNumberFormat="1" applyFill="1" applyBorder="1"/>
    <xf numFmtId="0" fontId="0" fillId="11" borderId="1" xfId="0" applyFill="1" applyBorder="1"/>
    <xf numFmtId="10" fontId="0" fillId="2" borderId="0" xfId="0" applyNumberFormat="1" applyFill="1"/>
    <xf numFmtId="167"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xf numFmtId="0" fontId="0" fillId="0" borderId="0" xfId="0" applyAlignment="1">
      <alignment horizontal="left" vertical="top" wrapText="1"/>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topLeftCell="A2" zoomScale="93" zoomScaleNormal="93" workbookViewId="0">
      <selection activeCell="C4" sqref="C4"/>
    </sheetView>
  </sheetViews>
  <sheetFormatPr defaultColWidth="9.140625" defaultRowHeight="12.75" x14ac:dyDescent="0.2"/>
  <cols>
    <col min="1" max="1" width="30.5703125" style="69" customWidth="1"/>
    <col min="2" max="3" width="13.140625" style="94" customWidth="1"/>
    <col min="4" max="4" width="14.7109375" style="95" customWidth="1"/>
    <col min="5" max="5" width="17.42578125" style="95" customWidth="1"/>
    <col min="6" max="6" width="17" style="94" customWidth="1"/>
    <col min="7" max="7" width="9.140625" style="69" customWidth="1"/>
    <col min="8" max="8" width="9.140625" style="69" hidden="1" customWidth="1"/>
    <col min="9" max="10" width="6.42578125" style="69" hidden="1" customWidth="1"/>
    <col min="11" max="11" width="8.140625" style="70" hidden="1" customWidth="1"/>
    <col min="12" max="16384" width="9.140625" style="69"/>
  </cols>
  <sheetData>
    <row r="1" spans="1:11" ht="15" customHeight="1" x14ac:dyDescent="0.2">
      <c r="A1" s="101" t="s">
        <v>19</v>
      </c>
      <c r="B1" s="101"/>
      <c r="C1" s="69"/>
      <c r="D1" s="69"/>
      <c r="E1" s="69"/>
      <c r="F1" s="69"/>
    </row>
    <row r="2" spans="1:11" ht="15" customHeight="1" thickBot="1" x14ac:dyDescent="0.25">
      <c r="A2" s="100"/>
      <c r="B2" s="100"/>
      <c r="C2" s="69"/>
      <c r="D2" s="69"/>
      <c r="E2" s="69"/>
      <c r="F2" s="69"/>
    </row>
    <row r="3" spans="1:11" ht="15" customHeight="1" x14ac:dyDescent="0.2">
      <c r="A3" s="149" t="s">
        <v>247</v>
      </c>
      <c r="B3" s="149"/>
      <c r="C3" s="149"/>
      <c r="D3" s="69"/>
      <c r="E3" s="69"/>
      <c r="F3" s="69"/>
      <c r="H3" s="71" t="s">
        <v>62</v>
      </c>
      <c r="I3" s="72">
        <f>1/1</f>
        <v>1</v>
      </c>
      <c r="J3" s="72">
        <v>1</v>
      </c>
      <c r="K3" s="73">
        <v>1</v>
      </c>
    </row>
    <row r="4" spans="1:11" ht="15" customHeight="1" x14ac:dyDescent="0.2">
      <c r="A4" s="173" t="s">
        <v>248</v>
      </c>
      <c r="B4" s="174"/>
      <c r="C4" s="163">
        <v>16.600000000000001</v>
      </c>
      <c r="H4" s="74" t="s">
        <v>63</v>
      </c>
      <c r="I4" s="75">
        <f>1/0.548</f>
        <v>1.824817518248175</v>
      </c>
      <c r="J4" s="75">
        <v>2</v>
      </c>
      <c r="K4" s="76">
        <v>0.54800000000000004</v>
      </c>
    </row>
    <row r="5" spans="1:11" x14ac:dyDescent="0.2">
      <c r="A5" s="173" t="s">
        <v>249</v>
      </c>
      <c r="B5" s="174"/>
      <c r="C5" s="164">
        <v>6.7000000000000004E-2</v>
      </c>
      <c r="H5" s="79" t="s">
        <v>64</v>
      </c>
      <c r="I5" s="80">
        <f>1/0.397</f>
        <v>2.5188916876574305</v>
      </c>
      <c r="J5" s="80">
        <v>3</v>
      </c>
      <c r="K5" s="81">
        <v>0.39700000000000002</v>
      </c>
    </row>
    <row r="6" spans="1:11" ht="15" customHeight="1" x14ac:dyDescent="0.2">
      <c r="A6" s="175" t="s">
        <v>250</v>
      </c>
      <c r="B6" s="176"/>
      <c r="C6" s="154">
        <f>ROUND(C4*C5+C4,2)</f>
        <v>17.71</v>
      </c>
      <c r="D6" s="146"/>
      <c r="E6" s="146"/>
      <c r="F6" s="145"/>
      <c r="H6" s="84" t="s">
        <v>65</v>
      </c>
      <c r="I6" s="67">
        <f>1/0.321</f>
        <v>3.1152647975077881</v>
      </c>
      <c r="J6" s="67">
        <v>4</v>
      </c>
      <c r="K6" s="85">
        <v>0.32100000000000001</v>
      </c>
    </row>
    <row r="7" spans="1:11" s="144" customFormat="1" ht="15" customHeight="1" x14ac:dyDescent="0.2">
      <c r="A7" s="147"/>
      <c r="B7" s="147"/>
      <c r="C7" s="147"/>
      <c r="D7" s="147"/>
      <c r="E7" s="147"/>
      <c r="F7" s="148"/>
      <c r="H7" s="84" t="s">
        <v>87</v>
      </c>
      <c r="I7" s="67">
        <f>1/0.276</f>
        <v>3.6231884057971011</v>
      </c>
      <c r="J7" s="67">
        <v>5</v>
      </c>
      <c r="K7" s="85">
        <v>0.27600000000000002</v>
      </c>
    </row>
    <row r="8" spans="1:11" s="144" customFormat="1" ht="15" customHeight="1" x14ac:dyDescent="0.2">
      <c r="A8" s="5" t="s">
        <v>252</v>
      </c>
      <c r="B8" s="69"/>
      <c r="C8" s="69"/>
      <c r="D8" s="69"/>
      <c r="E8" s="69"/>
      <c r="F8" s="69"/>
      <c r="H8" s="84" t="s">
        <v>66</v>
      </c>
      <c r="I8" s="67">
        <f>1/0.246</f>
        <v>4.0650406504065044</v>
      </c>
      <c r="J8" s="67">
        <v>6</v>
      </c>
      <c r="K8" s="85">
        <v>0.246</v>
      </c>
    </row>
    <row r="9" spans="1:11" ht="15" customHeight="1" x14ac:dyDescent="0.2">
      <c r="A9" s="77" t="s">
        <v>0</v>
      </c>
      <c r="B9" s="78" t="s">
        <v>61</v>
      </c>
      <c r="C9" s="63" t="s">
        <v>251</v>
      </c>
      <c r="D9" s="27" t="s">
        <v>97</v>
      </c>
      <c r="E9" s="63" t="s">
        <v>98</v>
      </c>
      <c r="F9" s="64" t="s">
        <v>102</v>
      </c>
      <c r="H9" s="84" t="s">
        <v>88</v>
      </c>
      <c r="I9" s="67">
        <f>1/0.224</f>
        <v>4.4642857142857144</v>
      </c>
      <c r="J9" s="67">
        <v>7</v>
      </c>
      <c r="K9" s="85">
        <v>0.224</v>
      </c>
    </row>
    <row r="10" spans="1:11" ht="15" customHeight="1" x14ac:dyDescent="0.2">
      <c r="A10" s="82" t="s">
        <v>69</v>
      </c>
      <c r="B10" s="83" t="s">
        <v>62</v>
      </c>
      <c r="C10" s="16">
        <f>$C$6</f>
        <v>17.71</v>
      </c>
      <c r="D10" s="59">
        <v>6</v>
      </c>
      <c r="E10" s="16">
        <f>C10*D10</f>
        <v>106.26</v>
      </c>
      <c r="F10" s="16">
        <f>E10/(VLOOKUP(B10,H3:K14,2,FALSE))</f>
        <v>106.26</v>
      </c>
      <c r="H10" s="54" t="s">
        <v>67</v>
      </c>
      <c r="I10" s="67">
        <f>1/0.208</f>
        <v>4.8076923076923075</v>
      </c>
      <c r="J10" s="67">
        <v>8</v>
      </c>
      <c r="K10" s="85">
        <v>0.20799999999999999</v>
      </c>
    </row>
    <row r="11" spans="1:11" x14ac:dyDescent="0.2">
      <c r="B11" s="69"/>
      <c r="C11" s="69"/>
      <c r="D11" s="69"/>
      <c r="E11" s="69"/>
      <c r="F11" s="69"/>
      <c r="H11" s="54" t="s">
        <v>89</v>
      </c>
      <c r="I11" s="67">
        <f>1/0.196</f>
        <v>5.1020408163265305</v>
      </c>
      <c r="J11" s="67">
        <v>9</v>
      </c>
      <c r="K11" s="85">
        <v>0.19600000000000001</v>
      </c>
    </row>
    <row r="12" spans="1:11" ht="15" customHeight="1" thickBot="1" x14ac:dyDescent="0.25">
      <c r="A12" s="5" t="s">
        <v>253</v>
      </c>
      <c r="B12" s="69"/>
      <c r="C12" s="69"/>
      <c r="D12" s="69"/>
      <c r="E12" s="69"/>
      <c r="F12" s="69"/>
      <c r="H12" s="55" t="s">
        <v>68</v>
      </c>
      <c r="I12" s="68">
        <f>1/0.186</f>
        <v>5.376344086021505</v>
      </c>
      <c r="J12" s="68">
        <v>10</v>
      </c>
      <c r="K12" s="89">
        <v>0.186</v>
      </c>
    </row>
    <row r="13" spans="1:11" ht="25.5" x14ac:dyDescent="0.2">
      <c r="A13" s="57" t="s">
        <v>92</v>
      </c>
      <c r="B13" s="86"/>
      <c r="C13" s="28" t="s">
        <v>17</v>
      </c>
      <c r="D13" s="4" t="s">
        <v>95</v>
      </c>
      <c r="E13" s="4" t="s">
        <v>99</v>
      </c>
      <c r="F13" s="4" t="s">
        <v>103</v>
      </c>
      <c r="H13" s="150"/>
      <c r="I13" s="151"/>
      <c r="J13" s="151"/>
      <c r="K13" s="152"/>
    </row>
    <row r="14" spans="1:11" x14ac:dyDescent="0.2">
      <c r="A14" s="58" t="s">
        <v>92</v>
      </c>
      <c r="B14" s="87"/>
      <c r="C14" s="15">
        <v>22.87</v>
      </c>
      <c r="D14" s="61">
        <v>0.11</v>
      </c>
      <c r="E14" s="59">
        <f>D10*D14</f>
        <v>0.66</v>
      </c>
      <c r="F14" s="15">
        <f>(C14*E14)/VLOOKUP(B10,H3:K12,2,FALSE)</f>
        <v>15.094200000000001</v>
      </c>
      <c r="H14" s="150"/>
      <c r="I14" s="151"/>
      <c r="J14" s="151"/>
      <c r="K14" s="152"/>
    </row>
    <row r="15" spans="1:11" x14ac:dyDescent="0.2">
      <c r="B15" s="69"/>
      <c r="C15" s="69"/>
      <c r="D15" s="69"/>
      <c r="E15" s="69"/>
      <c r="F15" s="69"/>
    </row>
    <row r="16" spans="1:11" x14ac:dyDescent="0.2">
      <c r="A16" s="8" t="s">
        <v>254</v>
      </c>
      <c r="B16" s="88"/>
      <c r="C16" s="6"/>
      <c r="D16" s="7"/>
      <c r="E16" s="7"/>
      <c r="F16" s="6"/>
    </row>
    <row r="17" spans="1:6" ht="38.25" x14ac:dyDescent="0.2">
      <c r="A17" s="13" t="s">
        <v>24</v>
      </c>
      <c r="B17" s="3" t="s">
        <v>15</v>
      </c>
      <c r="C17" s="4" t="s">
        <v>16</v>
      </c>
      <c r="D17" s="4" t="s">
        <v>104</v>
      </c>
      <c r="E17" s="13" t="s">
        <v>100</v>
      </c>
      <c r="F17" s="4" t="s">
        <v>101</v>
      </c>
    </row>
    <row r="18" spans="1:6" x14ac:dyDescent="0.2">
      <c r="A18" s="60" t="s">
        <v>93</v>
      </c>
      <c r="B18" s="9">
        <v>0</v>
      </c>
      <c r="C18" s="126">
        <v>0</v>
      </c>
      <c r="D18" s="177">
        <f>IF(C18&gt;0,D10,0)</f>
        <v>0</v>
      </c>
      <c r="E18" s="168">
        <f>C18*D18</f>
        <v>0</v>
      </c>
      <c r="F18" s="168">
        <f>E18</f>
        <v>0</v>
      </c>
    </row>
    <row r="19" spans="1:6" x14ac:dyDescent="0.2">
      <c r="A19" s="60" t="s">
        <v>56</v>
      </c>
      <c r="B19" s="90">
        <v>2.5</v>
      </c>
      <c r="C19" s="127"/>
      <c r="D19" s="178"/>
      <c r="E19" s="168"/>
      <c r="F19" s="168"/>
    </row>
    <row r="20" spans="1:6" x14ac:dyDescent="0.2">
      <c r="B20" s="69"/>
      <c r="C20" s="69"/>
      <c r="D20" s="69"/>
      <c r="E20" s="69"/>
      <c r="F20" s="69"/>
    </row>
    <row r="21" spans="1:6" x14ac:dyDescent="0.2">
      <c r="A21" s="5" t="s">
        <v>255</v>
      </c>
      <c r="B21" s="5"/>
      <c r="C21" s="5"/>
      <c r="D21" s="5"/>
      <c r="E21" s="69"/>
      <c r="F21" s="69"/>
    </row>
    <row r="22" spans="1:6" x14ac:dyDescent="0.2">
      <c r="A22" s="97" t="s">
        <v>0</v>
      </c>
      <c r="B22" s="98" t="s">
        <v>17</v>
      </c>
      <c r="C22" s="97" t="s">
        <v>97</v>
      </c>
      <c r="D22" s="97" t="s">
        <v>113</v>
      </c>
      <c r="E22" s="69"/>
      <c r="F22" s="69"/>
    </row>
    <row r="23" spans="1:6" x14ac:dyDescent="0.2">
      <c r="A23" s="60" t="s">
        <v>114</v>
      </c>
      <c r="B23" s="16">
        <v>23.06</v>
      </c>
      <c r="C23" s="103"/>
      <c r="D23" s="9">
        <f>B23*C23</f>
        <v>0</v>
      </c>
      <c r="E23" s="69"/>
      <c r="F23" s="69"/>
    </row>
    <row r="24" spans="1:6" x14ac:dyDescent="0.2">
      <c r="B24" s="69"/>
      <c r="C24" s="69"/>
      <c r="D24" s="69"/>
      <c r="E24" s="69"/>
      <c r="F24" s="69"/>
    </row>
    <row r="25" spans="1:6" x14ac:dyDescent="0.2">
      <c r="A25" s="5" t="s">
        <v>256</v>
      </c>
      <c r="B25" s="5"/>
      <c r="C25" s="5"/>
      <c r="D25" s="5"/>
      <c r="E25" s="69"/>
      <c r="F25" s="69"/>
    </row>
    <row r="26" spans="1:6" x14ac:dyDescent="0.2">
      <c r="A26" s="97" t="s">
        <v>0</v>
      </c>
      <c r="B26" s="98" t="s">
        <v>17</v>
      </c>
      <c r="C26" s="97" t="s">
        <v>97</v>
      </c>
      <c r="D26" s="97" t="s">
        <v>113</v>
      </c>
      <c r="E26" s="69"/>
      <c r="F26" s="69"/>
    </row>
    <row r="27" spans="1:6" ht="13.5" customHeight="1" x14ac:dyDescent="0.2">
      <c r="A27" s="60" t="s">
        <v>112</v>
      </c>
      <c r="B27" s="16">
        <v>38.03</v>
      </c>
      <c r="C27" s="102"/>
      <c r="D27" s="9">
        <f>B27*C27</f>
        <v>0</v>
      </c>
      <c r="E27" s="69"/>
      <c r="F27" s="69"/>
    </row>
    <row r="28" spans="1:6" x14ac:dyDescent="0.2">
      <c r="A28" s="96"/>
      <c r="B28" s="96"/>
      <c r="C28" s="99"/>
      <c r="D28" s="96"/>
      <c r="E28" s="69"/>
      <c r="F28" s="69"/>
    </row>
    <row r="29" spans="1:6" x14ac:dyDescent="0.2">
      <c r="A29" s="5" t="s">
        <v>257</v>
      </c>
      <c r="B29" s="69"/>
      <c r="C29" s="69"/>
      <c r="D29" s="69"/>
      <c r="E29" s="69"/>
      <c r="F29" s="69"/>
    </row>
    <row r="30" spans="1:6" x14ac:dyDescent="0.2">
      <c r="A30" s="57" t="s">
        <v>80</v>
      </c>
      <c r="B30" s="86"/>
      <c r="C30" s="86"/>
      <c r="D30" s="91" t="s">
        <v>18</v>
      </c>
      <c r="E30" s="69"/>
      <c r="F30" s="69"/>
    </row>
    <row r="31" spans="1:6" x14ac:dyDescent="0.2">
      <c r="A31" s="169" t="s">
        <v>30</v>
      </c>
      <c r="B31" s="170"/>
      <c r="C31" s="92">
        <v>8.7099999999999997E-2</v>
      </c>
      <c r="D31" s="9">
        <f>(F10+F14+F18+D27+D23)*C31</f>
        <v>10.569950820000001</v>
      </c>
      <c r="E31" s="69"/>
      <c r="F31" s="69"/>
    </row>
    <row r="32" spans="1:6" x14ac:dyDescent="0.2">
      <c r="B32" s="69"/>
      <c r="C32" s="69"/>
      <c r="D32" s="69"/>
      <c r="E32" s="69"/>
      <c r="F32" s="69"/>
    </row>
    <row r="33" spans="1:6" x14ac:dyDescent="0.2">
      <c r="A33" s="5" t="s">
        <v>258</v>
      </c>
      <c r="B33" s="69"/>
      <c r="C33" s="69"/>
      <c r="D33" s="69"/>
      <c r="E33" s="69"/>
      <c r="F33" s="69"/>
    </row>
    <row r="34" spans="1:6" x14ac:dyDescent="0.2">
      <c r="A34" s="171" t="s">
        <v>25</v>
      </c>
      <c r="B34" s="172"/>
      <c r="C34" s="93">
        <f>F10+F14+F18+D27+D23+D31</f>
        <v>131.92415081999999</v>
      </c>
      <c r="D34" s="69"/>
      <c r="E34" s="69"/>
      <c r="F34" s="69"/>
    </row>
    <row r="35" spans="1:6" x14ac:dyDescent="0.2">
      <c r="B35" s="69"/>
      <c r="C35" s="69"/>
      <c r="D35" s="69"/>
      <c r="E35" s="69"/>
      <c r="F35" s="69"/>
    </row>
    <row r="36" spans="1:6" x14ac:dyDescent="0.2">
      <c r="B36" s="69"/>
      <c r="C36" s="69"/>
      <c r="D36" s="69"/>
      <c r="E36" s="69"/>
      <c r="F36" s="69"/>
    </row>
    <row r="43" spans="1:6" ht="19.5" customHeight="1" x14ac:dyDescent="0.2"/>
    <row r="44" spans="1:6" x14ac:dyDescent="0.2">
      <c r="B44" s="167"/>
    </row>
    <row r="45" spans="1:6" x14ac:dyDescent="0.2">
      <c r="B45" s="167"/>
    </row>
    <row r="46" spans="1:6" x14ac:dyDescent="0.2">
      <c r="B46" s="167"/>
    </row>
  </sheetData>
  <sheetProtection algorithmName="SHA-512" hashValue="oR02mExelt02e8xgElrlODL3uAf3sAWLyO/xtUW2XH6zSlnlUbdZNCW7sWZtvPns82g2soE2BviEya36kzq0Bg==" saltValue="vNgvWAy/qticUJNBKMVOJg==" spinCount="100000" sheet="1" objects="1" scenarios="1"/>
  <mergeCells count="9">
    <mergeCell ref="A4:B4"/>
    <mergeCell ref="A5:B5"/>
    <mergeCell ref="A6:B6"/>
    <mergeCell ref="D18:D19"/>
    <mergeCell ref="B44:B46"/>
    <mergeCell ref="E18:E19"/>
    <mergeCell ref="F18:F19"/>
    <mergeCell ref="A31:B31"/>
    <mergeCell ref="A34:B34"/>
  </mergeCells>
  <phoneticPr fontId="2" type="noConversion"/>
  <dataValidations xWindow="242" yWindow="188" count="27">
    <dataValidation allowBlank="1" showInputMessage="1" showErrorMessage="1" prompt="Direct Staff Wage" sqref="C10" xr:uid="{00000000-0002-0000-0000-000000000000}"/>
    <dataValidation allowBlank="1" showInputMessage="1" showErrorMessage="1" prompt="Direct Staff Hours per Day" sqref="D10" xr:uid="{00000000-0002-0000-0000-000001000000}"/>
    <dataValidation allowBlank="1" showInputMessage="1" showErrorMessage="1" prompt="Direct Staff Total Cost per Day formula is Wage times Hours per Day" sqref="E10" xr:uid="{00000000-0002-0000-0000-000002000000}"/>
    <dataValidation allowBlank="1" showInputMessage="1" showErrorMessage="1" prompt="Supervision Wage" sqref="C14" xr:uid="{00000000-0002-0000-0000-000003000000}"/>
    <dataValidation allowBlank="1" showInputMessage="1" showErrorMessage="1" prompt="Supervision Hours per Day formula is equal to Direct Staff Hours per Day times Supervision Percent" sqref="E14" xr:uid="{00000000-0002-0000-0000-000004000000}"/>
    <dataValidation allowBlank="1" showInputMessage="1" showErrorMessage="1" prompt="Supervision Total Cost per Day formula is (Supervision Wage times Supervision Hours per Day) divided by last digit of Staffing Ratio" sqref="F14" xr:uid="{00000000-0002-0000-0000-000005000000}"/>
    <dataValidation allowBlank="1" showInputMessage="1" showErrorMessage="1" prompt="No Customization Add-on Amount" sqref="B18" xr:uid="{00000000-0002-0000-0000-000006000000}"/>
    <dataValidation allowBlank="1" showInputMessage="1" showErrorMessage="1" prompt="Benefit Percentage for Direct Care Staffing " sqref="C31" xr:uid="{00000000-0002-0000-0000-000007000000}"/>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xr:uid="{00000000-0002-0000-0000-000008000000}"/>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xr:uid="{00000000-0002-0000-0000-000009000000}"/>
    <dataValidation allowBlank="1" showInputMessage="1" showErrorMessage="1" prompt="Use CTRL plus arrow keys to move to edge of tables.  Use TAB to move to data entry fields" sqref="A1:B1" xr:uid="{00000000-0002-0000-0000-00000A000000}"/>
    <dataValidation allowBlank="1" showInputMessage="1" showErrorMessage="1" prompt="If Add-on Choice Amount is greater than $0, Staffing Customization Total Hours per Week formula is equal to Direct Staff Hours per Week" sqref="B44:B46" xr:uid="{00000000-0002-0000-0000-00000B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C000000}">
      <formula1>$B$18:$B$19</formula1>
    </dataValidation>
    <dataValidation allowBlank="1" showInputMessage="1" showErrorMessage="1" prompt="Staffing Customization Total Cost per Day formula is Add-on Amount times Staffing Customization Total Hours per Day" sqref="E18:E19" xr:uid="{00000000-0002-0000-0000-00000D000000}"/>
    <dataValidation allowBlank="1" showInputMessage="1" showErrorMessage="1" prompt="Staffing Customization Amount perDay formula is equal to Total Cost per Day" sqref="F18:F19" xr:uid="{00000000-0002-0000-0000-00000E000000}"/>
    <dataValidation allowBlank="1" showInputMessage="1" showErrorMessage="1" prompt="Supervision Percent" sqref="D14" xr:uid="{00000000-0002-0000-0000-00000F000000}"/>
    <dataValidation allowBlank="1" showInputMessage="1" showErrorMessage="1" prompt="If Add-on Choice Amount is greater than $0, Staffing Customization Total Hours perDay formula is equal to Direct Staff Hours per Day" sqref="D18:D19" xr:uid="{00000000-0002-0000-0000-000010000000}"/>
    <dataValidation allowBlank="1" showInputMessage="1" showErrorMessage="1" prompt="RN Wage" sqref="B27" xr:uid="{00000000-0002-0000-0000-000011000000}"/>
    <dataValidation allowBlank="1" showInputMessage="1" showErrorMessage="1" prompt="RN Amount per Day formula is RN Wage times Hours per Day" sqref="D27" xr:uid="{00000000-0002-0000-0000-000012000000}"/>
    <dataValidation allowBlank="1" showInputMessage="1" showErrorMessage="1" prompt="LPN Wage" sqref="B23" xr:uid="{00000000-0002-0000-0000-000013000000}"/>
    <dataValidation type="decimal" operator="lessThan" allowBlank="1" showInputMessage="1" showErrorMessage="1" prompt="Enter LPN Hours per Day" sqref="C23" xr:uid="{00000000-0002-0000-0000-000014000000}">
      <formula1>6.00000000001</formula1>
    </dataValidation>
    <dataValidation allowBlank="1" showInputMessage="1" showErrorMessage="1" prompt="LPN Amount per Day formula is LPN Wage times Hours per Day" sqref="D23" xr:uid="{00000000-0002-0000-0000-000015000000}"/>
    <dataValidation type="decimal" operator="lessThan" allowBlank="1" showInputMessage="1" showErrorMessage="1" prompt="Enter RN Hours per Day" sqref="C27" xr:uid="{00000000-0002-0000-0000-000016000000}">
      <formula1>6.00000000001</formula1>
    </dataValidation>
    <dataValidation allowBlank="1" showInputMessage="1" showErrorMessage="1" prompt="Deaf or Hard of Hearing Add-on Amount" sqref="B19" xr:uid="{00000000-0002-0000-0000-000017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8000000}">
      <formula1>$H$3:$H$12</formula1>
    </dataValidation>
    <dataValidation allowBlank="1" showInputMessage="1" showErrorMessage="1" prompt="Direct Staff Pro-rated Cost of Staff per Day formula is Total Cost per Day divided by last digit of Staffing Ratio" sqref="F7 F10" xr:uid="{00000000-0002-0000-0000-000019000000}"/>
    <dataValidation allowBlank="1" showInputMessage="1" showErrorMessage="1" prompt="Shared On-site Primary Staff/Awake Wage" sqref="C4" xr:uid="{00000000-0002-0000-0000-00001A000000}"/>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22"/>
  <sheetViews>
    <sheetView workbookViewId="0">
      <selection activeCell="J18" sqref="I18:J18"/>
    </sheetView>
  </sheetViews>
  <sheetFormatPr defaultRowHeight="27.75" customHeight="1" x14ac:dyDescent="0.2"/>
  <cols>
    <col min="1" max="1" width="10.140625" bestFit="1" customWidth="1"/>
    <col min="2" max="2" width="73.85546875" style="106" customWidth="1"/>
    <col min="3" max="3" width="14" customWidth="1"/>
  </cols>
  <sheetData>
    <row r="3" spans="1:3" ht="27.75" customHeight="1" x14ac:dyDescent="0.2">
      <c r="A3" s="104">
        <v>44197</v>
      </c>
      <c r="B3" s="211" t="s">
        <v>259</v>
      </c>
      <c r="C3" t="s">
        <v>260</v>
      </c>
    </row>
    <row r="4" spans="1:3" ht="27.75" customHeight="1" x14ac:dyDescent="0.2">
      <c r="A4" s="104">
        <v>44378</v>
      </c>
      <c r="B4" s="106" t="s">
        <v>261</v>
      </c>
      <c r="C4" t="s">
        <v>262</v>
      </c>
    </row>
    <row r="5" spans="1:3" ht="27.75" customHeight="1" x14ac:dyDescent="0.2">
      <c r="A5" s="104">
        <v>44562</v>
      </c>
      <c r="B5" s="211" t="s">
        <v>263</v>
      </c>
      <c r="C5" t="s">
        <v>264</v>
      </c>
    </row>
    <row r="6" spans="1:3" ht="27.75" customHeight="1" x14ac:dyDescent="0.2">
      <c r="A6" s="104">
        <v>44720</v>
      </c>
      <c r="B6" s="106" t="s">
        <v>265</v>
      </c>
      <c r="C6" t="s">
        <v>266</v>
      </c>
    </row>
    <row r="7" spans="1:3" ht="27.75" customHeight="1" x14ac:dyDescent="0.2">
      <c r="A7" s="104">
        <v>44844</v>
      </c>
      <c r="B7" s="106" t="s">
        <v>261</v>
      </c>
      <c r="C7" t="s">
        <v>267</v>
      </c>
    </row>
    <row r="8" spans="1:3" ht="27.75" customHeight="1" x14ac:dyDescent="0.2">
      <c r="A8" s="104">
        <v>45245</v>
      </c>
      <c r="B8" s="106" t="s">
        <v>268</v>
      </c>
      <c r="C8" t="s">
        <v>269</v>
      </c>
    </row>
    <row r="9" spans="1:3" ht="27.75" customHeight="1" x14ac:dyDescent="0.2">
      <c r="A9" s="104">
        <v>45631</v>
      </c>
      <c r="B9" s="106" t="s">
        <v>270</v>
      </c>
      <c r="C9" t="s">
        <v>271</v>
      </c>
    </row>
    <row r="11" spans="1:3" s="143" customFormat="1" ht="27.75" customHeight="1" x14ac:dyDescent="0.2">
      <c r="A11" s="142"/>
      <c r="B11" s="153"/>
    </row>
    <row r="12" spans="1:3" ht="27.75" customHeight="1" x14ac:dyDescent="0.2">
      <c r="A12" s="104"/>
    </row>
    <row r="13" spans="1:3" ht="27.75" customHeight="1" x14ac:dyDescent="0.2">
      <c r="A13" s="104"/>
    </row>
    <row r="14" spans="1:3" ht="27.75" customHeight="1" x14ac:dyDescent="0.2">
      <c r="A14" s="104"/>
    </row>
    <row r="15" spans="1:3" ht="27.75" customHeight="1" x14ac:dyDescent="0.2">
      <c r="A15" s="104"/>
    </row>
    <row r="16" spans="1:3" ht="27.75" customHeight="1" x14ac:dyDescent="0.2">
      <c r="A16" s="104"/>
    </row>
    <row r="17" spans="1:3" ht="27.75" customHeight="1" x14ac:dyDescent="0.2">
      <c r="A17" s="104"/>
    </row>
    <row r="18" spans="1:3" ht="27.75" customHeight="1" x14ac:dyDescent="0.2">
      <c r="A18" s="104"/>
    </row>
    <row r="19" spans="1:3" ht="27.75" customHeight="1" x14ac:dyDescent="0.2">
      <c r="A19" s="104"/>
      <c r="B19" s="133"/>
      <c r="C19" s="132"/>
    </row>
    <row r="20" spans="1:3" ht="27.75" customHeight="1" x14ac:dyDescent="0.2">
      <c r="A20" s="104"/>
      <c r="B20" s="133"/>
      <c r="C20" s="132"/>
    </row>
    <row r="21" spans="1:3" ht="27.75" customHeight="1" x14ac:dyDescent="0.2">
      <c r="A21" s="104"/>
      <c r="B21" s="133"/>
      <c r="C21" s="132"/>
    </row>
    <row r="22" spans="1:3" ht="27.75" customHeight="1" x14ac:dyDescent="0.2">
      <c r="A22" s="132"/>
      <c r="B22" s="133"/>
      <c r="C22" s="132"/>
    </row>
  </sheetData>
  <sheetProtection algorithmName="SHA-512" hashValue="C678H1fwVDi0/s1HKnmWhyN3Edt8c0o+n0iMAwwP8Nu1goMMhEohVJFdvNr/CL8pW2GPgRsdfCgWzMB7Rq87Wg==" saltValue="VlmkEBnRdJOkYDjYDxa60Q==" spinCount="100000" sheet="1"/>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5.5703125" style="1" customWidth="1"/>
    <col min="4" max="7" width="9.140625" style="2"/>
    <col min="8" max="16384" width="9.140625" style="1"/>
  </cols>
  <sheetData>
    <row r="1" spans="1:13" ht="15" x14ac:dyDescent="0.2">
      <c r="A1" s="26" t="s">
        <v>39</v>
      </c>
      <c r="B1" s="26"/>
      <c r="C1" s="26"/>
      <c r="D1" s="35"/>
      <c r="E1" s="35"/>
    </row>
    <row r="2" spans="1:13" x14ac:dyDescent="0.2">
      <c r="A2" s="35"/>
      <c r="B2" s="35"/>
      <c r="C2" s="35"/>
      <c r="D2" s="35"/>
      <c r="E2" s="35"/>
    </row>
    <row r="3" spans="1:13" x14ac:dyDescent="0.2">
      <c r="A3" s="5" t="s">
        <v>40</v>
      </c>
      <c r="D3" s="35"/>
      <c r="E3" s="35"/>
    </row>
    <row r="4" spans="1:13" ht="12.75" customHeight="1" x14ac:dyDescent="0.2">
      <c r="A4" s="179" t="s">
        <v>41</v>
      </c>
      <c r="B4" s="180"/>
      <c r="C4" s="181"/>
      <c r="D4" s="35"/>
      <c r="E4" s="35"/>
    </row>
    <row r="5" spans="1:13" ht="27.75" customHeight="1" x14ac:dyDescent="0.2">
      <c r="A5" s="184" t="s">
        <v>111</v>
      </c>
      <c r="B5" s="185"/>
      <c r="C5" s="186"/>
      <c r="D5" s="35"/>
      <c r="E5" s="35"/>
    </row>
    <row r="6" spans="1:13" x14ac:dyDescent="0.2">
      <c r="A6" s="20"/>
      <c r="B6" s="21" t="s">
        <v>33</v>
      </c>
      <c r="C6" s="22"/>
      <c r="D6" s="35"/>
      <c r="E6" s="35"/>
    </row>
    <row r="7" spans="1:13" x14ac:dyDescent="0.2">
      <c r="A7" s="20"/>
      <c r="B7" s="21" t="s">
        <v>34</v>
      </c>
      <c r="C7" s="14"/>
      <c r="D7" s="35"/>
      <c r="E7" s="35"/>
    </row>
    <row r="8" spans="1:13" x14ac:dyDescent="0.2">
      <c r="A8" s="20"/>
      <c r="B8" s="21" t="s">
        <v>38</v>
      </c>
      <c r="C8" s="14"/>
      <c r="D8" s="35"/>
      <c r="E8" s="35"/>
    </row>
    <row r="9" spans="1:13" x14ac:dyDescent="0.2">
      <c r="A9" s="182" t="s">
        <v>70</v>
      </c>
      <c r="B9" s="183"/>
      <c r="C9" s="48">
        <v>5.6000000000000001E-2</v>
      </c>
      <c r="D9" s="35"/>
      <c r="E9" s="35"/>
    </row>
    <row r="10" spans="1:13" s="2" customFormat="1" x14ac:dyDescent="0.2">
      <c r="A10" s="35"/>
      <c r="B10" s="35"/>
      <c r="C10" s="35"/>
      <c r="D10" s="35"/>
      <c r="E10" s="35"/>
    </row>
    <row r="11" spans="1:13" s="2" customFormat="1" x14ac:dyDescent="0.2">
      <c r="A11" s="35"/>
      <c r="B11" s="35"/>
      <c r="C11" s="35"/>
      <c r="D11" s="35"/>
      <c r="E11" s="35"/>
    </row>
    <row r="12" spans="1:13" s="2" customFormat="1" x14ac:dyDescent="0.2">
      <c r="B12" s="2" t="s">
        <v>55</v>
      </c>
    </row>
    <row r="13" spans="1:13" s="2" customFormat="1" x14ac:dyDescent="0.2">
      <c r="H13" s="2" t="s">
        <v>45</v>
      </c>
    </row>
    <row r="14" spans="1:13" x14ac:dyDescent="0.2">
      <c r="A14" s="2"/>
      <c r="B14" s="2"/>
      <c r="C14" s="2"/>
      <c r="M14" s="1" t="s">
        <v>46</v>
      </c>
    </row>
  </sheetData>
  <sheetProtection algorithmName="SHA-512" hashValue="UWiLoJ3GgQsSv41V8HpGmgyhHC7Nn1vdH+/98MzGGE97kZlYsD57gSKCsyxk/XupxrLQm/vgmGM75L/JBRBZWQ==" saltValue="1NaqgS4q1nnQyJ+QRPLHn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C5" sqref="C5:C7"/>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6" t="s">
        <v>31</v>
      </c>
      <c r="B1" s="26"/>
      <c r="C1" s="26"/>
      <c r="D1" s="35"/>
      <c r="E1" s="35"/>
    </row>
    <row r="2" spans="1:5" x14ac:dyDescent="0.2">
      <c r="A2" s="35"/>
      <c r="B2" s="35"/>
      <c r="C2" s="35"/>
      <c r="D2" s="35"/>
      <c r="E2" s="35"/>
    </row>
    <row r="3" spans="1:5" x14ac:dyDescent="0.2">
      <c r="A3" s="5" t="s">
        <v>22</v>
      </c>
      <c r="D3" s="35"/>
      <c r="E3" s="35"/>
    </row>
    <row r="4" spans="1:5" x14ac:dyDescent="0.2">
      <c r="A4" s="192" t="s">
        <v>43</v>
      </c>
      <c r="B4" s="193"/>
      <c r="C4" s="23" t="s">
        <v>21</v>
      </c>
      <c r="D4" s="35"/>
      <c r="E4" s="35"/>
    </row>
    <row r="5" spans="1:5" x14ac:dyDescent="0.2">
      <c r="A5" s="187" t="s">
        <v>28</v>
      </c>
      <c r="B5" s="188"/>
      <c r="C5" s="189">
        <v>0.11559999999999999</v>
      </c>
      <c r="D5" s="35"/>
      <c r="E5" s="35"/>
    </row>
    <row r="6" spans="1:5" x14ac:dyDescent="0.2">
      <c r="A6" s="10"/>
      <c r="B6" s="194" t="s">
        <v>29</v>
      </c>
      <c r="C6" s="190"/>
      <c r="D6" s="35"/>
      <c r="E6" s="35"/>
    </row>
    <row r="7" spans="1:5" x14ac:dyDescent="0.2">
      <c r="A7" s="11"/>
      <c r="B7" s="195"/>
      <c r="C7" s="191"/>
      <c r="D7" s="35"/>
      <c r="E7" s="35"/>
    </row>
    <row r="8" spans="1:5" x14ac:dyDescent="0.2">
      <c r="A8" s="187" t="s">
        <v>27</v>
      </c>
      <c r="B8" s="188"/>
      <c r="C8" s="189">
        <v>0.12039999999999999</v>
      </c>
      <c r="D8" s="35"/>
      <c r="E8" s="35"/>
    </row>
    <row r="9" spans="1:5" x14ac:dyDescent="0.2">
      <c r="A9" s="10"/>
      <c r="B9" s="2" t="s">
        <v>2</v>
      </c>
      <c r="C9" s="190"/>
      <c r="D9" s="35"/>
      <c r="E9" s="35"/>
    </row>
    <row r="10" spans="1:5" x14ac:dyDescent="0.2">
      <c r="A10" s="10"/>
      <c r="B10" s="2" t="s">
        <v>79</v>
      </c>
      <c r="C10" s="190"/>
      <c r="D10" s="35"/>
      <c r="E10" s="35"/>
    </row>
    <row r="11" spans="1:5" x14ac:dyDescent="0.2">
      <c r="A11" s="10"/>
      <c r="B11" s="2" t="s">
        <v>3</v>
      </c>
      <c r="C11" s="190"/>
      <c r="D11" s="35"/>
      <c r="E11" s="35"/>
    </row>
    <row r="12" spans="1:5" x14ac:dyDescent="0.2">
      <c r="A12" s="10"/>
      <c r="B12" s="2" t="s">
        <v>4</v>
      </c>
      <c r="C12" s="190"/>
      <c r="D12" s="35"/>
      <c r="E12" s="35"/>
    </row>
    <row r="13" spans="1:5" x14ac:dyDescent="0.2">
      <c r="A13" s="10"/>
      <c r="B13" s="2" t="s">
        <v>6</v>
      </c>
      <c r="C13" s="190"/>
      <c r="D13" s="35"/>
      <c r="E13" s="35"/>
    </row>
    <row r="14" spans="1:5" x14ac:dyDescent="0.2">
      <c r="A14" s="10"/>
      <c r="B14" s="2" t="s">
        <v>5</v>
      </c>
      <c r="C14" s="190"/>
      <c r="D14" s="35"/>
      <c r="E14" s="35"/>
    </row>
    <row r="15" spans="1:5" x14ac:dyDescent="0.2">
      <c r="A15" s="10"/>
      <c r="B15" s="2" t="s">
        <v>7</v>
      </c>
      <c r="C15" s="190"/>
      <c r="D15" s="35"/>
      <c r="E15" s="35"/>
    </row>
    <row r="16" spans="1:5" x14ac:dyDescent="0.2">
      <c r="A16" s="10"/>
      <c r="B16" s="2" t="s">
        <v>8</v>
      </c>
      <c r="C16" s="190"/>
      <c r="D16" s="35"/>
      <c r="E16" s="35"/>
    </row>
    <row r="17" spans="1:5" x14ac:dyDescent="0.2">
      <c r="A17" s="10"/>
      <c r="B17" s="2" t="s">
        <v>26</v>
      </c>
      <c r="C17" s="190"/>
      <c r="D17" s="35"/>
      <c r="E17" s="35"/>
    </row>
    <row r="18" spans="1:5" ht="11.25" customHeight="1" x14ac:dyDescent="0.2">
      <c r="A18" s="11"/>
      <c r="B18" s="12"/>
      <c r="C18" s="191"/>
      <c r="D18" s="35"/>
      <c r="E18" s="35"/>
    </row>
    <row r="19" spans="1:5" x14ac:dyDescent="0.2">
      <c r="A19" s="182" t="s">
        <v>91</v>
      </c>
      <c r="B19" s="183"/>
      <c r="C19" s="49">
        <f>SUM(C5:C18)</f>
        <v>0.23599999999999999</v>
      </c>
      <c r="D19" s="35"/>
      <c r="E19" s="35"/>
    </row>
    <row r="20" spans="1:5" x14ac:dyDescent="0.2">
      <c r="A20" s="35"/>
      <c r="B20" s="35"/>
      <c r="C20" s="35"/>
      <c r="D20" s="35"/>
      <c r="E20" s="35"/>
    </row>
    <row r="21" spans="1:5" x14ac:dyDescent="0.2">
      <c r="A21" s="1" t="s">
        <v>42</v>
      </c>
      <c r="C21" s="35"/>
      <c r="D21" s="35"/>
      <c r="E21" s="35"/>
    </row>
    <row r="22" spans="1:5" x14ac:dyDescent="0.2">
      <c r="A22" s="35"/>
      <c r="B22" s="35"/>
      <c r="C22" s="35"/>
      <c r="D22" s="35"/>
      <c r="E22" s="35"/>
    </row>
    <row r="23" spans="1:5" x14ac:dyDescent="0.2">
      <c r="A23" s="35"/>
      <c r="B23" s="35"/>
      <c r="C23" s="35"/>
      <c r="D23" s="35"/>
      <c r="E23" s="35"/>
    </row>
  </sheetData>
  <sheetProtection algorithmName="SHA-512" hashValue="M3p8cqXqVASz7U5c7xFVsR2P2Pq8ctjGXJDNqj5T82SRAx+dfBRDl1o4N4xon49YVFI8pBbgCXLZVkcf4x3JPA==" saltValue="Rs7ptXqyGiPzTp0s88mRmQ=="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5" width="9.140625" style="1"/>
    <col min="6" max="6" width="0" style="1" hidden="1" customWidth="1"/>
    <col min="7" max="16384" width="9.140625" style="1"/>
  </cols>
  <sheetData>
    <row r="1" spans="1:6" ht="15" x14ac:dyDescent="0.2">
      <c r="A1" s="26" t="s">
        <v>35</v>
      </c>
      <c r="B1" s="26"/>
      <c r="C1" s="35"/>
      <c r="D1" s="35"/>
      <c r="E1" s="35"/>
    </row>
    <row r="2" spans="1:6" x14ac:dyDescent="0.2">
      <c r="A2" s="35"/>
      <c r="B2" s="35"/>
      <c r="C2" s="35"/>
      <c r="D2" s="35"/>
      <c r="E2" s="35"/>
    </row>
    <row r="3" spans="1:6" x14ac:dyDescent="0.2">
      <c r="A3" s="5" t="s">
        <v>44</v>
      </c>
      <c r="C3" s="35"/>
      <c r="D3" s="35"/>
      <c r="E3" s="35"/>
    </row>
    <row r="4" spans="1:6" x14ac:dyDescent="0.2">
      <c r="A4" s="192" t="s">
        <v>20</v>
      </c>
      <c r="B4" s="193"/>
      <c r="C4" s="23" t="s">
        <v>37</v>
      </c>
      <c r="D4" s="35"/>
      <c r="E4" s="35"/>
    </row>
    <row r="5" spans="1:6" ht="126.75" customHeight="1" x14ac:dyDescent="0.2">
      <c r="A5" s="198" t="s">
        <v>82</v>
      </c>
      <c r="B5" s="197"/>
      <c r="C5" s="165">
        <v>8.9800000000000005E-2</v>
      </c>
      <c r="D5" s="35"/>
      <c r="E5" s="35"/>
      <c r="F5" s="161">
        <f>SUM(7.78%*15.39%)+7.78%</f>
        <v>8.9773420000000007E-2</v>
      </c>
    </row>
    <row r="6" spans="1:6" x14ac:dyDescent="0.2">
      <c r="A6" s="35"/>
      <c r="B6" s="35"/>
      <c r="C6" s="35"/>
      <c r="D6" s="35"/>
      <c r="E6" s="35"/>
    </row>
    <row r="7" spans="1:6" x14ac:dyDescent="0.2">
      <c r="A7" s="5" t="s">
        <v>81</v>
      </c>
      <c r="C7" s="35"/>
      <c r="D7" s="35"/>
      <c r="E7" s="35"/>
    </row>
    <row r="8" spans="1:6" x14ac:dyDescent="0.2">
      <c r="A8" s="192" t="s">
        <v>58</v>
      </c>
      <c r="B8" s="193"/>
      <c r="C8" s="23" t="s">
        <v>57</v>
      </c>
      <c r="D8" s="35"/>
      <c r="E8" s="35"/>
    </row>
    <row r="9" spans="1:6" x14ac:dyDescent="0.2">
      <c r="A9" s="196" t="s">
        <v>59</v>
      </c>
      <c r="B9" s="197"/>
      <c r="C9" s="128">
        <f>C5</f>
        <v>8.9800000000000005E-2</v>
      </c>
      <c r="D9" s="35"/>
      <c r="E9" s="35"/>
    </row>
    <row r="10" spans="1:6" x14ac:dyDescent="0.2">
      <c r="A10" s="35"/>
      <c r="B10" s="35"/>
      <c r="C10" s="35"/>
      <c r="D10" s="35"/>
      <c r="E10" s="35"/>
    </row>
    <row r="11" spans="1:6" x14ac:dyDescent="0.2">
      <c r="A11" s="35"/>
      <c r="B11" s="35"/>
      <c r="C11" s="35"/>
      <c r="D11" s="35"/>
      <c r="E11" s="35"/>
    </row>
  </sheetData>
  <sheetProtection algorithmName="SHA-512" hashValue="v6PURdzBZaQXYoirnvHFa2oZGHVo/6cLeAUmSU9s6tZyBfzHsPHSF5ungB/WGTCwfLEmhM03GLGa8toEVeTREQ==" saltValue="zfglUzuJRyL4iMGI3Xxn2g=="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
  <sheetViews>
    <sheetView zoomScale="125" workbookViewId="0">
      <selection activeCell="B5" sqref="B5"/>
    </sheetView>
  </sheetViews>
  <sheetFormatPr defaultColWidth="9.140625" defaultRowHeight="12.75" x14ac:dyDescent="0.2"/>
  <cols>
    <col min="1" max="1" width="12.85546875" style="1" customWidth="1"/>
    <col min="2" max="2" width="17.42578125" style="1" customWidth="1"/>
    <col min="3" max="3" width="9.140625" style="1"/>
    <col min="4" max="4" width="12.5703125" style="1" customWidth="1"/>
    <col min="5" max="5" width="15.7109375" style="1" customWidth="1"/>
    <col min="6" max="7" width="9.140625" style="1"/>
    <col min="8" max="8" width="9.140625" style="1" hidden="1" customWidth="1"/>
    <col min="9" max="16384" width="9.140625" style="1"/>
  </cols>
  <sheetData>
    <row r="1" spans="1:8" ht="15" x14ac:dyDescent="0.2">
      <c r="A1" s="26" t="s">
        <v>47</v>
      </c>
      <c r="B1" s="26"/>
      <c r="C1" s="35"/>
      <c r="D1" s="35"/>
      <c r="E1" s="35"/>
      <c r="F1" s="35"/>
      <c r="G1" s="35"/>
    </row>
    <row r="2" spans="1:8" x14ac:dyDescent="0.2">
      <c r="A2" s="35"/>
      <c r="B2" s="35"/>
      <c r="C2" s="35"/>
      <c r="D2" s="35"/>
      <c r="E2" s="35"/>
      <c r="F2" s="35"/>
      <c r="G2" s="35"/>
      <c r="H2" s="1" t="s">
        <v>94</v>
      </c>
    </row>
    <row r="3" spans="1:8" x14ac:dyDescent="0.2">
      <c r="A3" s="5" t="s">
        <v>76</v>
      </c>
      <c r="F3" s="35"/>
      <c r="G3" s="35"/>
      <c r="H3" s="1" t="s">
        <v>9</v>
      </c>
    </row>
    <row r="4" spans="1:8" ht="25.5" x14ac:dyDescent="0.2">
      <c r="A4" s="24" t="s">
        <v>52</v>
      </c>
      <c r="B4" s="24" t="s">
        <v>53</v>
      </c>
      <c r="C4" s="24" t="s">
        <v>54</v>
      </c>
      <c r="D4" s="33" t="s">
        <v>105</v>
      </c>
      <c r="E4" s="33" t="s">
        <v>106</v>
      </c>
      <c r="F4" s="35"/>
      <c r="G4" s="35"/>
    </row>
    <row r="5" spans="1:8" x14ac:dyDescent="0.2">
      <c r="A5" s="17" t="s">
        <v>48</v>
      </c>
      <c r="B5" s="56" t="s">
        <v>9</v>
      </c>
      <c r="C5" s="18">
        <f>IF(B5=$H$2,(6.07),(0))</f>
        <v>0</v>
      </c>
      <c r="D5" s="56">
        <v>0</v>
      </c>
      <c r="E5" s="32">
        <f>C5*D5</f>
        <v>0</v>
      </c>
      <c r="F5" s="35"/>
      <c r="G5" s="35"/>
    </row>
    <row r="6" spans="1:8" x14ac:dyDescent="0.2">
      <c r="A6" s="17" t="s">
        <v>49</v>
      </c>
      <c r="B6" s="56" t="s">
        <v>9</v>
      </c>
      <c r="C6" s="18">
        <f>IF(B6=$H$2,(2),(0))</f>
        <v>0</v>
      </c>
      <c r="D6" s="56">
        <v>0</v>
      </c>
      <c r="E6" s="32">
        <f>C6*D6</f>
        <v>0</v>
      </c>
      <c r="F6" s="35"/>
      <c r="G6" s="35"/>
    </row>
    <row r="7" spans="1:8" x14ac:dyDescent="0.2">
      <c r="A7" s="17" t="s">
        <v>50</v>
      </c>
      <c r="B7" s="56" t="s">
        <v>9</v>
      </c>
      <c r="C7" s="18">
        <f>IF(B7=$H$2,(2),(0))</f>
        <v>0</v>
      </c>
      <c r="D7" s="56">
        <v>0</v>
      </c>
      <c r="E7" s="32">
        <f>C7*D7</f>
        <v>0</v>
      </c>
      <c r="F7" s="35"/>
      <c r="G7" s="35"/>
    </row>
    <row r="8" spans="1:8" x14ac:dyDescent="0.2">
      <c r="A8" s="199" t="s">
        <v>75</v>
      </c>
      <c r="B8" s="199"/>
      <c r="C8" s="19"/>
      <c r="D8" s="34"/>
      <c r="E8" s="19">
        <f>SUM(E5:E7)</f>
        <v>0</v>
      </c>
      <c r="F8" s="35"/>
      <c r="G8" s="35"/>
    </row>
    <row r="9" spans="1:8" x14ac:dyDescent="0.2">
      <c r="A9" s="35"/>
      <c r="B9" s="35"/>
      <c r="C9" s="35"/>
      <c r="D9" s="35"/>
      <c r="E9" s="35"/>
      <c r="F9" s="35"/>
      <c r="G9" s="35"/>
    </row>
    <row r="10" spans="1:8" x14ac:dyDescent="0.2">
      <c r="A10" s="35"/>
      <c r="B10" s="35"/>
      <c r="C10" s="35"/>
      <c r="D10" s="35"/>
      <c r="E10" s="35"/>
      <c r="F10" s="35"/>
      <c r="G10" s="35"/>
    </row>
  </sheetData>
  <sheetProtection algorithmName="SHA-512" hashValue="LqI0OfVHRXVr/uE+7EjkSCbtIEwxpTQ6hlKNKanPWSGKK00VHBcDLQJOsygyx66BjXE7rCzbRtjZUVBEjLyUPg==" saltValue="LxIX0dhzerP4keyeYJHOYw==" spinCount="100000"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xr:uid="{00000000-0002-0000-0400-000000000000}">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xr:uid="{00000000-0002-0000-0400-000001000000}">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xr:uid="{00000000-0002-0000-0400-000002000000}">
      <formula1>$H$2:$H$3</formula1>
    </dataValidation>
    <dataValidation allowBlank="1" showInputMessage="1" showErrorMessage="1" prompt="Meal Dollar Amount" sqref="C5" xr:uid="{00000000-0002-0000-0400-000003000000}"/>
    <dataValidation allowBlank="1" showInputMessage="1" showErrorMessage="1" prompt="AM Snack Dollar Amount" sqref="C6" xr:uid="{00000000-0002-0000-0400-000004000000}"/>
    <dataValidation allowBlank="1" showInputMessage="1" showErrorMessage="1" prompt="PM Snack Dollar Amount" sqref="C7" xr:uid="{00000000-0002-0000-0400-000005000000}"/>
    <dataValidation allowBlank="1" showInputMessage="1" showErrorMessage="1" prompt="Enter Number of Meals per Day" sqref="D5" xr:uid="{00000000-0002-0000-0400-000006000000}"/>
    <dataValidation allowBlank="1" showInputMessage="1" showErrorMessage="1" prompt="Enter Number of AM Snacks per Day" sqref="D6" xr:uid="{00000000-0002-0000-0400-000007000000}"/>
    <dataValidation allowBlank="1" showInputMessage="1" showErrorMessage="1" prompt="Enter Number of PM Snacks per Day" sqref="D7" xr:uid="{00000000-0002-0000-0400-000008000000}"/>
    <dataValidation allowBlank="1" showInputMessage="1" showErrorMessage="1" prompt="Total Dollar Meals per Day formula is Meal Dollar Amount times Number of Meals per Day" sqref="E5" xr:uid="{00000000-0002-0000-0400-000009000000}"/>
    <dataValidation allowBlank="1" showInputMessage="1" showErrorMessage="1" prompt="Total Dollar AM Snack per Day formula is AM Snack Dollar Amount times Number of AM Snacks per Day" sqref="E6" xr:uid="{00000000-0002-0000-0400-00000A000000}"/>
    <dataValidation allowBlank="1" showInputMessage="1" showErrorMessage="1" prompt="Total Dollar PM Snack per Day formula is PM Snack Amount times Number of PM Snacks per Day" sqref="E7" xr:uid="{00000000-0002-0000-0400-00000B000000}"/>
    <dataValidation allowBlank="1" showInputMessage="1" showErrorMessage="1" prompt="Total Meal Reimbursement formula is Total Dollar Meals per Day plus Total Dollar AM Snack per Day plus Total Dollar PM Snack per Day" sqref="E8" xr:uid="{00000000-0002-0000-0400-00000C000000}"/>
    <dataValidation allowBlank="1" showInputMessage="1" showErrorMessage="1" prompt="TAB to move to data entry fields" sqref="A1:B1" xr:uid="{00000000-0002-0000-0400-00000D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6" width="9.140625" style="1"/>
    <col min="7" max="7" width="0" style="1" hidden="1" customWidth="1"/>
    <col min="8" max="16384" width="9.140625" style="1"/>
  </cols>
  <sheetData>
    <row r="1" spans="1:7" ht="15" x14ac:dyDescent="0.2">
      <c r="A1" s="26" t="s">
        <v>51</v>
      </c>
      <c r="B1" s="26"/>
      <c r="C1" s="26"/>
      <c r="D1" s="35"/>
      <c r="E1" s="35"/>
      <c r="F1" s="35"/>
    </row>
    <row r="2" spans="1:7" x14ac:dyDescent="0.2">
      <c r="A2" s="35"/>
      <c r="B2" s="35"/>
      <c r="C2" s="35"/>
      <c r="D2" s="35"/>
      <c r="E2" s="35"/>
      <c r="F2" s="35"/>
    </row>
    <row r="3" spans="1:7" ht="13.5" thickBot="1" x14ac:dyDescent="0.25">
      <c r="A3" s="5" t="s">
        <v>60</v>
      </c>
      <c r="E3" s="35"/>
      <c r="F3" s="35"/>
    </row>
    <row r="4" spans="1:7" ht="25.5" x14ac:dyDescent="0.2">
      <c r="A4" s="29" t="s">
        <v>61</v>
      </c>
      <c r="B4" s="65" t="s">
        <v>107</v>
      </c>
      <c r="C4" s="65" t="s">
        <v>108</v>
      </c>
      <c r="D4" s="35"/>
      <c r="E4" s="35"/>
      <c r="F4" s="35"/>
      <c r="G4" s="162"/>
    </row>
    <row r="5" spans="1:7" x14ac:dyDescent="0.2">
      <c r="A5" s="30" t="str">
        <f>'Direct Staffing'!B10</f>
        <v>1:1</v>
      </c>
      <c r="B5" s="166">
        <f>24.28/5</f>
        <v>4.8559999999999999</v>
      </c>
      <c r="C5" s="31">
        <f>((1+1/(VLOOKUP(A5,'Direct Staffing'!H3:K14,2,FALSE)))*B5)</f>
        <v>9.7119999999999997</v>
      </c>
      <c r="D5" s="35"/>
      <c r="E5" s="35"/>
      <c r="F5" s="35"/>
      <c r="G5" s="162">
        <f>SUM(21.04*15.39%)+21.04</f>
        <v>24.278055999999999</v>
      </c>
    </row>
    <row r="6" spans="1:7" x14ac:dyDescent="0.2">
      <c r="A6" s="35"/>
      <c r="B6" s="35"/>
      <c r="C6" s="35"/>
      <c r="D6" s="35"/>
      <c r="E6" s="35"/>
      <c r="F6" s="35"/>
    </row>
    <row r="7" spans="1:7" x14ac:dyDescent="0.2">
      <c r="A7" s="35"/>
      <c r="B7" s="35"/>
      <c r="C7" s="35"/>
      <c r="D7" s="35"/>
      <c r="E7" s="35"/>
      <c r="F7" s="35"/>
    </row>
  </sheetData>
  <sheetProtection algorithmName="SHA-512" hashValue="Rrsubn4bR3l0FHa89dqb9jA76QkFPZWTGbeZciiL3x1uGkq2pQwP0bpRDQ+FEXsNXMkzBLYWn/tw5u6As15Tng==" saltValue="sQz092d22Btoo3IMZqzExg=="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500-000000000000}"/>
    <dataValidation allowBlank="1" showInputMessage="1" showErrorMessage="1" prompt="Rate per Person per Day formula is $24.28 divided by five" sqref="B5" xr:uid="{00000000-0002-0000-0500-000001000000}"/>
    <dataValidation allowBlank="1" showInputMessage="1" showErrorMessage="1" prompt="Daily Facility Cost formula is equal to Ratio Factor times Rate per Person per Day" sqref="C5" xr:uid="{00000000-0002-0000-05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2"/>
  <sheetViews>
    <sheetView zoomScale="125" workbookViewId="0">
      <selection activeCell="E6" sqref="E6"/>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6" t="s">
        <v>83</v>
      </c>
      <c r="B1" s="26"/>
      <c r="C1" s="26"/>
      <c r="D1" s="35"/>
      <c r="E1" s="35"/>
      <c r="F1" s="35"/>
      <c r="G1" s="35"/>
    </row>
    <row r="2" spans="1:7" x14ac:dyDescent="0.2">
      <c r="A2" s="35"/>
      <c r="B2" s="35"/>
      <c r="C2" s="35"/>
      <c r="D2" s="35"/>
      <c r="E2" s="35"/>
      <c r="F2" s="35"/>
      <c r="G2" s="35"/>
    </row>
    <row r="3" spans="1:7" x14ac:dyDescent="0.2">
      <c r="A3" s="100" t="s">
        <v>84</v>
      </c>
      <c r="B3" s="100"/>
      <c r="C3" s="100"/>
      <c r="D3" s="100"/>
      <c r="E3" s="100"/>
      <c r="F3" s="100"/>
      <c r="G3" s="35"/>
    </row>
    <row r="4" spans="1:7" x14ac:dyDescent="0.2">
      <c r="A4" s="203" t="s">
        <v>11</v>
      </c>
      <c r="B4" s="203"/>
      <c r="C4" s="203"/>
      <c r="D4" s="203"/>
      <c r="E4" s="25" t="s">
        <v>23</v>
      </c>
      <c r="F4" s="35"/>
      <c r="G4" s="35"/>
    </row>
    <row r="5" spans="1:7" ht="12" customHeight="1" x14ac:dyDescent="0.2">
      <c r="A5" s="204" t="s">
        <v>77</v>
      </c>
      <c r="B5" s="204"/>
      <c r="C5" s="204"/>
      <c r="D5" s="204"/>
      <c r="E5" s="50">
        <v>0.13250000000000001</v>
      </c>
      <c r="F5" s="35"/>
      <c r="G5" s="35"/>
    </row>
    <row r="6" spans="1:7" x14ac:dyDescent="0.2">
      <c r="A6" s="204" t="s">
        <v>78</v>
      </c>
      <c r="B6" s="204"/>
      <c r="C6" s="204"/>
      <c r="D6" s="204"/>
      <c r="E6" s="50">
        <v>1.7999999999999999E-2</v>
      </c>
      <c r="F6" s="35"/>
      <c r="G6" s="35"/>
    </row>
    <row r="7" spans="1:7" x14ac:dyDescent="0.2">
      <c r="A7" s="200" t="s">
        <v>85</v>
      </c>
      <c r="B7" s="201"/>
      <c r="C7" s="201"/>
      <c r="D7" s="202"/>
      <c r="E7" s="50">
        <v>9.4E-2</v>
      </c>
      <c r="F7" s="35"/>
      <c r="G7" s="35"/>
    </row>
    <row r="8" spans="1:7" x14ac:dyDescent="0.2">
      <c r="A8" s="199" t="s">
        <v>86</v>
      </c>
      <c r="B8" s="199"/>
      <c r="C8" s="199"/>
      <c r="D8" s="199"/>
      <c r="E8" s="49">
        <f>SUM(E5:E7)</f>
        <v>0.2445</v>
      </c>
      <c r="F8" s="35"/>
      <c r="G8" s="35"/>
    </row>
    <row r="9" spans="1:7" x14ac:dyDescent="0.2">
      <c r="A9" s="35"/>
      <c r="B9" s="35"/>
      <c r="C9" s="35"/>
      <c r="D9" s="35"/>
      <c r="E9" s="35"/>
      <c r="F9" s="35"/>
      <c r="G9" s="35"/>
    </row>
    <row r="10" spans="1:7" x14ac:dyDescent="0.2">
      <c r="C10" s="35"/>
      <c r="D10" s="35"/>
      <c r="E10" s="35"/>
      <c r="F10" s="35"/>
      <c r="G10" s="35"/>
    </row>
    <row r="11" spans="1:7" x14ac:dyDescent="0.2">
      <c r="A11" s="35"/>
      <c r="B11" s="35"/>
      <c r="C11" s="35"/>
      <c r="D11" s="35"/>
      <c r="E11" s="35"/>
      <c r="F11" s="35"/>
      <c r="G11" s="35"/>
    </row>
    <row r="12" spans="1:7" x14ac:dyDescent="0.2">
      <c r="A12" s="35"/>
      <c r="B12" s="35"/>
      <c r="C12" s="35"/>
      <c r="D12" s="35"/>
      <c r="E12" s="35"/>
      <c r="F12" s="35"/>
      <c r="G12" s="35"/>
    </row>
  </sheetData>
  <sheetProtection algorithmName="SHA-512" hashValue="+UaoVxCaUT6zWjOk22l670QHi/XqhOIE5gG+LD2jDOOEQsuaUr4BqJDpWd4ZiXJhenDWSevL941gYh9IywS7ng==" saltValue="ze3RROeIccLSeVNrhVsG9Q=="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600-000000000000}"/>
    <dataValidation allowBlank="1" showInputMessage="1" showErrorMessage="1" prompt="Program General and Administrative Percentage" sqref="E6" xr:uid="{00000000-0002-0000-0600-000001000000}"/>
    <dataValidation allowBlank="1" showInputMessage="1" showErrorMessage="1" prompt="Utilization Factor Percentage" sqref="E7" xr:uid="{00000000-0002-0000-06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6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107" bestFit="1" customWidth="1"/>
  </cols>
  <sheetData>
    <row r="3" spans="1:6" x14ac:dyDescent="0.2">
      <c r="A3" s="5" t="s">
        <v>124</v>
      </c>
      <c r="B3" s="69"/>
      <c r="C3" s="69"/>
      <c r="D3" s="69"/>
    </row>
    <row r="4" spans="1:6" x14ac:dyDescent="0.2">
      <c r="A4" s="57" t="s">
        <v>125</v>
      </c>
      <c r="B4" s="205" t="s">
        <v>126</v>
      </c>
      <c r="C4" s="206"/>
      <c r="D4" s="207"/>
    </row>
    <row r="5" spans="1:6" x14ac:dyDescent="0.2">
      <c r="A5" s="57" t="s">
        <v>127</v>
      </c>
      <c r="B5" s="208" t="str">
        <f>INDEX($C$10:$C$108,MATCH(B4:D4,B10:B108,0))</f>
        <v>Unspecified Region</v>
      </c>
      <c r="C5" s="209"/>
      <c r="D5" s="210"/>
    </row>
    <row r="7" spans="1:6" hidden="1" x14ac:dyDescent="0.2">
      <c r="A7" t="s">
        <v>128</v>
      </c>
      <c r="B7" t="str">
        <f>INDEX($D$10:$D$108,MATCH(B4:D4,B10:B108,0))</f>
        <v>-</v>
      </c>
    </row>
    <row r="8" spans="1:6" hidden="1" x14ac:dyDescent="0.2"/>
    <row r="9" spans="1:6" ht="15" hidden="1" x14ac:dyDescent="0.2">
      <c r="B9" s="108" t="s">
        <v>129</v>
      </c>
      <c r="C9" s="108" t="s">
        <v>130</v>
      </c>
      <c r="D9" s="109" t="s">
        <v>128</v>
      </c>
      <c r="F9"/>
    </row>
    <row r="10" spans="1:6" ht="15" hidden="1" x14ac:dyDescent="0.2">
      <c r="B10" s="110" t="s">
        <v>126</v>
      </c>
      <c r="C10" s="110" t="s">
        <v>131</v>
      </c>
      <c r="D10" s="111" t="s">
        <v>132</v>
      </c>
      <c r="F10"/>
    </row>
    <row r="11" spans="1:6" ht="15" hidden="1" x14ac:dyDescent="0.2">
      <c r="B11" s="112" t="s">
        <v>133</v>
      </c>
      <c r="C11" s="112" t="s">
        <v>134</v>
      </c>
      <c r="D11" s="157">
        <v>0.99</v>
      </c>
      <c r="F11"/>
    </row>
    <row r="12" spans="1:6" ht="15" hidden="1" x14ac:dyDescent="0.2">
      <c r="B12" s="112" t="s">
        <v>135</v>
      </c>
      <c r="C12" s="112" t="s">
        <v>136</v>
      </c>
      <c r="D12" s="157">
        <v>1.004</v>
      </c>
      <c r="F12"/>
    </row>
    <row r="13" spans="1:6" ht="15" hidden="1" x14ac:dyDescent="0.2">
      <c r="B13" s="112" t="s">
        <v>137</v>
      </c>
      <c r="C13" s="112" t="s">
        <v>138</v>
      </c>
      <c r="D13" s="157">
        <v>0.96699999999999997</v>
      </c>
      <c r="F13"/>
    </row>
    <row r="14" spans="1:6" ht="15" hidden="1" x14ac:dyDescent="0.2">
      <c r="B14" s="112" t="s">
        <v>139</v>
      </c>
      <c r="C14" s="112" t="s">
        <v>138</v>
      </c>
      <c r="D14" s="157">
        <v>0.96699999999999997</v>
      </c>
      <c r="F14"/>
    </row>
    <row r="15" spans="1:6" ht="15" hidden="1" x14ac:dyDescent="0.2">
      <c r="B15" s="112" t="s">
        <v>140</v>
      </c>
      <c r="C15" s="112" t="s">
        <v>141</v>
      </c>
      <c r="D15" s="157">
        <v>1.0169999999999999</v>
      </c>
      <c r="F15"/>
    </row>
    <row r="16" spans="1:6" ht="15" hidden="1" x14ac:dyDescent="0.2">
      <c r="B16" s="112" t="s">
        <v>142</v>
      </c>
      <c r="C16" s="113" t="s">
        <v>143</v>
      </c>
      <c r="D16" s="157">
        <v>0.98599999999999999</v>
      </c>
      <c r="F16"/>
    </row>
    <row r="17" spans="2:6" ht="15" hidden="1" x14ac:dyDescent="0.2">
      <c r="B17" s="112" t="s">
        <v>144</v>
      </c>
      <c r="C17" s="112" t="s">
        <v>145</v>
      </c>
      <c r="D17" s="157">
        <v>1.022</v>
      </c>
      <c r="F17"/>
    </row>
    <row r="18" spans="2:6" ht="15" hidden="1" x14ac:dyDescent="0.2">
      <c r="B18" s="112" t="s">
        <v>146</v>
      </c>
      <c r="C18" s="113" t="s">
        <v>147</v>
      </c>
      <c r="D18" s="157">
        <v>1.0269999999999999</v>
      </c>
      <c r="F18"/>
    </row>
    <row r="19" spans="2:6" ht="15" hidden="1" x14ac:dyDescent="0.2">
      <c r="B19" s="112" t="s">
        <v>148</v>
      </c>
      <c r="C19" s="113" t="s">
        <v>149</v>
      </c>
      <c r="D19" s="157">
        <v>0.96499999999999997</v>
      </c>
      <c r="F19"/>
    </row>
    <row r="20" spans="2:6" ht="15" hidden="1" x14ac:dyDescent="0.2">
      <c r="B20" s="112" t="s">
        <v>150</v>
      </c>
      <c r="C20" s="112" t="s">
        <v>136</v>
      </c>
      <c r="D20" s="157">
        <v>1.004</v>
      </c>
      <c r="F20"/>
    </row>
    <row r="21" spans="2:6" ht="15" hidden="1" x14ac:dyDescent="0.2">
      <c r="B21" s="112" t="s">
        <v>151</v>
      </c>
      <c r="C21" s="112" t="s">
        <v>138</v>
      </c>
      <c r="D21" s="157">
        <v>0.96699999999999997</v>
      </c>
      <c r="F21"/>
    </row>
    <row r="22" spans="2:6" ht="15" hidden="1" x14ac:dyDescent="0.2">
      <c r="B22" s="112" t="s">
        <v>152</v>
      </c>
      <c r="C22" s="113" t="s">
        <v>143</v>
      </c>
      <c r="D22" s="157">
        <v>0.98599999999999999</v>
      </c>
      <c r="F22"/>
    </row>
    <row r="23" spans="2:6" ht="15" hidden="1" x14ac:dyDescent="0.2">
      <c r="B23" s="112" t="s">
        <v>153</v>
      </c>
      <c r="C23" s="113" t="s">
        <v>136</v>
      </c>
      <c r="D23" s="157">
        <v>1.004</v>
      </c>
      <c r="F23"/>
    </row>
    <row r="24" spans="2:6" ht="15" hidden="1" x14ac:dyDescent="0.2">
      <c r="B24" s="112" t="s">
        <v>154</v>
      </c>
      <c r="C24" s="113" t="s">
        <v>155</v>
      </c>
      <c r="D24" s="157">
        <v>1.004</v>
      </c>
      <c r="F24"/>
    </row>
    <row r="25" spans="2:6" ht="15" hidden="1" x14ac:dyDescent="0.2">
      <c r="B25" s="112" t="s">
        <v>156</v>
      </c>
      <c r="C25" s="112" t="s">
        <v>138</v>
      </c>
      <c r="D25" s="157">
        <v>0.96699999999999997</v>
      </c>
      <c r="F25"/>
    </row>
    <row r="26" spans="2:6" ht="15" hidden="1" x14ac:dyDescent="0.2">
      <c r="B26" s="112" t="s">
        <v>157</v>
      </c>
      <c r="C26" s="113" t="s">
        <v>134</v>
      </c>
      <c r="D26" s="157">
        <v>0.99</v>
      </c>
      <c r="F26"/>
    </row>
    <row r="27" spans="2:6" ht="15" hidden="1" x14ac:dyDescent="0.2">
      <c r="B27" s="112" t="s">
        <v>158</v>
      </c>
      <c r="C27" s="113" t="s">
        <v>143</v>
      </c>
      <c r="D27" s="157">
        <v>0.98599999999999999</v>
      </c>
      <c r="F27"/>
    </row>
    <row r="28" spans="2:6" ht="15" hidden="1" x14ac:dyDescent="0.2">
      <c r="B28" s="112" t="s">
        <v>159</v>
      </c>
      <c r="C28" s="112" t="s">
        <v>138</v>
      </c>
      <c r="D28" s="157">
        <v>0.96699999999999997</v>
      </c>
      <c r="F28"/>
    </row>
    <row r="29" spans="2:6" ht="15" hidden="1" x14ac:dyDescent="0.2">
      <c r="B29" s="112" t="s">
        <v>160</v>
      </c>
      <c r="C29" s="112" t="s">
        <v>136</v>
      </c>
      <c r="D29" s="157">
        <v>1.004</v>
      </c>
      <c r="F29"/>
    </row>
    <row r="30" spans="2:6" ht="15" hidden="1" x14ac:dyDescent="0.2">
      <c r="B30" s="112" t="s">
        <v>161</v>
      </c>
      <c r="C30" s="113" t="s">
        <v>162</v>
      </c>
      <c r="D30" s="157">
        <v>1.0029999999999999</v>
      </c>
      <c r="F30"/>
    </row>
    <row r="31" spans="2:6" ht="15" hidden="1" x14ac:dyDescent="0.2">
      <c r="B31" s="112" t="s">
        <v>163</v>
      </c>
      <c r="C31" s="112" t="s">
        <v>138</v>
      </c>
      <c r="D31" s="157">
        <v>0.96699999999999997</v>
      </c>
      <c r="F31"/>
    </row>
    <row r="32" spans="2:6" ht="15" hidden="1" x14ac:dyDescent="0.2">
      <c r="B32" s="112" t="s">
        <v>164</v>
      </c>
      <c r="C32" s="113" t="s">
        <v>147</v>
      </c>
      <c r="D32" s="157">
        <v>1.0269999999999999</v>
      </c>
      <c r="F32"/>
    </row>
    <row r="33" spans="2:6" ht="15" hidden="1" x14ac:dyDescent="0.2">
      <c r="B33" s="112" t="s">
        <v>165</v>
      </c>
      <c r="C33" s="113" t="s">
        <v>162</v>
      </c>
      <c r="D33" s="157">
        <v>1.0029999999999999</v>
      </c>
      <c r="F33"/>
    </row>
    <row r="34" spans="2:6" ht="15" hidden="1" x14ac:dyDescent="0.2">
      <c r="B34" s="112" t="s">
        <v>166</v>
      </c>
      <c r="C34" s="113" t="s">
        <v>147</v>
      </c>
      <c r="D34" s="157">
        <v>1.0269999999999999</v>
      </c>
      <c r="F34"/>
    </row>
    <row r="35" spans="2:6" ht="15" hidden="1" x14ac:dyDescent="0.2">
      <c r="B35" s="112" t="s">
        <v>167</v>
      </c>
      <c r="C35" s="113" t="s">
        <v>147</v>
      </c>
      <c r="D35" s="157">
        <v>1.0269999999999999</v>
      </c>
      <c r="F35"/>
    </row>
    <row r="36" spans="2:6" ht="15" hidden="1" x14ac:dyDescent="0.2">
      <c r="B36" s="112" t="s">
        <v>168</v>
      </c>
      <c r="C36" s="112" t="s">
        <v>138</v>
      </c>
      <c r="D36" s="157">
        <v>0.96699999999999997</v>
      </c>
      <c r="F36"/>
    </row>
    <row r="37" spans="2:6" ht="15" hidden="1" x14ac:dyDescent="0.2">
      <c r="B37" s="112" t="s">
        <v>169</v>
      </c>
      <c r="C37" s="112" t="s">
        <v>136</v>
      </c>
      <c r="D37" s="157">
        <v>1.004</v>
      </c>
      <c r="F37"/>
    </row>
    <row r="38" spans="2:6" ht="15" hidden="1" x14ac:dyDescent="0.2">
      <c r="B38" s="112" t="s">
        <v>170</v>
      </c>
      <c r="C38" s="113" t="s">
        <v>171</v>
      </c>
      <c r="D38" s="157">
        <v>1.0149999999999999</v>
      </c>
      <c r="F38"/>
    </row>
    <row r="39" spans="2:6" ht="15" hidden="1" x14ac:dyDescent="0.2">
      <c r="B39" s="112" t="s">
        <v>172</v>
      </c>
      <c r="C39" s="112" t="s">
        <v>138</v>
      </c>
      <c r="D39" s="157">
        <v>0.96699999999999997</v>
      </c>
      <c r="F39"/>
    </row>
    <row r="40" spans="2:6" ht="15" hidden="1" x14ac:dyDescent="0.2">
      <c r="B40" s="112" t="s">
        <v>173</v>
      </c>
      <c r="C40" s="113" t="s">
        <v>136</v>
      </c>
      <c r="D40" s="157">
        <v>1.004</v>
      </c>
      <c r="F40"/>
    </row>
    <row r="41" spans="2:6" ht="15" hidden="1" x14ac:dyDescent="0.2">
      <c r="B41" s="112" t="s">
        <v>174</v>
      </c>
      <c r="C41" s="113" t="s">
        <v>134</v>
      </c>
      <c r="D41" s="157">
        <v>0.99</v>
      </c>
      <c r="F41"/>
    </row>
    <row r="42" spans="2:6" ht="15" hidden="1" x14ac:dyDescent="0.2">
      <c r="B42" s="112" t="s">
        <v>175</v>
      </c>
      <c r="C42" s="113" t="s">
        <v>143</v>
      </c>
      <c r="D42" s="157">
        <v>0.98599999999999999</v>
      </c>
      <c r="F42"/>
    </row>
    <row r="43" spans="2:6" ht="15" hidden="1" x14ac:dyDescent="0.2">
      <c r="B43" s="112" t="s">
        <v>176</v>
      </c>
      <c r="C43" s="113" t="s">
        <v>134</v>
      </c>
      <c r="D43" s="157">
        <v>0.99</v>
      </c>
      <c r="F43"/>
    </row>
    <row r="44" spans="2:6" ht="15" hidden="1" x14ac:dyDescent="0.2">
      <c r="B44" s="112" t="s">
        <v>177</v>
      </c>
      <c r="C44" s="113" t="s">
        <v>143</v>
      </c>
      <c r="D44" s="157">
        <v>0.98599999999999999</v>
      </c>
      <c r="F44"/>
    </row>
    <row r="45" spans="2:6" ht="15" hidden="1" x14ac:dyDescent="0.2">
      <c r="B45" s="112" t="s">
        <v>178</v>
      </c>
      <c r="C45" s="112" t="s">
        <v>138</v>
      </c>
      <c r="D45" s="157">
        <v>0.96699999999999997</v>
      </c>
      <c r="F45"/>
    </row>
    <row r="46" spans="2:6" ht="15" hidden="1" x14ac:dyDescent="0.2">
      <c r="B46" s="112" t="s">
        <v>179</v>
      </c>
      <c r="C46" s="113" t="s">
        <v>134</v>
      </c>
      <c r="D46" s="157">
        <v>0.99</v>
      </c>
      <c r="F46"/>
    </row>
    <row r="47" spans="2:6" ht="15" hidden="1" x14ac:dyDescent="0.2">
      <c r="B47" s="112" t="s">
        <v>180</v>
      </c>
      <c r="C47" s="113" t="s">
        <v>143</v>
      </c>
      <c r="D47" s="157">
        <v>0.98599999999999999</v>
      </c>
      <c r="F47"/>
    </row>
    <row r="48" spans="2:6" ht="15" hidden="1" x14ac:dyDescent="0.2">
      <c r="B48" s="112" t="s">
        <v>181</v>
      </c>
      <c r="C48" s="113" t="s">
        <v>134</v>
      </c>
      <c r="D48" s="157">
        <v>0.99</v>
      </c>
      <c r="F48"/>
    </row>
    <row r="49" spans="2:6" ht="15" hidden="1" x14ac:dyDescent="0.2">
      <c r="B49" s="112" t="s">
        <v>182</v>
      </c>
      <c r="C49" s="112" t="s">
        <v>138</v>
      </c>
      <c r="D49" s="157">
        <v>0.96699999999999997</v>
      </c>
      <c r="F49"/>
    </row>
    <row r="50" spans="2:6" ht="15" hidden="1" x14ac:dyDescent="0.2">
      <c r="B50" s="112" t="s">
        <v>183</v>
      </c>
      <c r="C50" s="113" t="s">
        <v>136</v>
      </c>
      <c r="D50" s="157">
        <v>1.004</v>
      </c>
      <c r="F50"/>
    </row>
    <row r="51" spans="2:6" ht="15" hidden="1" x14ac:dyDescent="0.2">
      <c r="B51" s="112" t="s">
        <v>184</v>
      </c>
      <c r="C51" s="113" t="s">
        <v>143</v>
      </c>
      <c r="D51" s="157">
        <v>0.98599999999999999</v>
      </c>
      <c r="F51"/>
    </row>
    <row r="52" spans="2:6" ht="15" hidden="1" x14ac:dyDescent="0.2">
      <c r="B52" s="112" t="s">
        <v>185</v>
      </c>
      <c r="C52" s="113" t="s">
        <v>143</v>
      </c>
      <c r="D52" s="157">
        <v>0.98599999999999999</v>
      </c>
      <c r="F52"/>
    </row>
    <row r="53" spans="2:6" ht="15" hidden="1" x14ac:dyDescent="0.2">
      <c r="B53" s="112" t="s">
        <v>189</v>
      </c>
      <c r="C53" s="113" t="s">
        <v>143</v>
      </c>
      <c r="D53" s="157">
        <v>0.98599999999999999</v>
      </c>
      <c r="F53"/>
    </row>
    <row r="54" spans="2:6" ht="15" hidden="1" x14ac:dyDescent="0.2">
      <c r="B54" s="112" t="s">
        <v>186</v>
      </c>
      <c r="C54" s="112" t="s">
        <v>138</v>
      </c>
      <c r="D54" s="157">
        <v>0.96699999999999997</v>
      </c>
      <c r="F54"/>
    </row>
    <row r="55" spans="2:6" ht="15" hidden="1" x14ac:dyDescent="0.2">
      <c r="B55" s="112" t="s">
        <v>187</v>
      </c>
      <c r="C55" s="112" t="s">
        <v>138</v>
      </c>
      <c r="D55" s="157">
        <v>0.96699999999999997</v>
      </c>
      <c r="F55"/>
    </row>
    <row r="56" spans="2:6" ht="15" hidden="1" x14ac:dyDescent="0.2">
      <c r="B56" s="112" t="s">
        <v>188</v>
      </c>
      <c r="C56" s="113" t="s">
        <v>147</v>
      </c>
      <c r="D56" s="157">
        <v>1.0269999999999999</v>
      </c>
      <c r="F56"/>
    </row>
    <row r="57" spans="2:6" ht="15" hidden="1" x14ac:dyDescent="0.2">
      <c r="B57" s="112" t="s">
        <v>190</v>
      </c>
      <c r="C57" s="113" t="s">
        <v>143</v>
      </c>
      <c r="D57" s="157">
        <v>0.98599999999999999</v>
      </c>
      <c r="F57"/>
    </row>
    <row r="58" spans="2:6" ht="15" hidden="1" x14ac:dyDescent="0.2">
      <c r="B58" s="112" t="s">
        <v>191</v>
      </c>
      <c r="C58" s="113" t="s">
        <v>136</v>
      </c>
      <c r="D58" s="157">
        <v>1.004</v>
      </c>
      <c r="F58"/>
    </row>
    <row r="59" spans="2:6" ht="15" hidden="1" x14ac:dyDescent="0.2">
      <c r="B59" s="112" t="s">
        <v>192</v>
      </c>
      <c r="C59" s="112" t="s">
        <v>138</v>
      </c>
      <c r="D59" s="157">
        <v>0.96699999999999997</v>
      </c>
      <c r="F59"/>
    </row>
    <row r="60" spans="2:6" ht="15" hidden="1" x14ac:dyDescent="0.2">
      <c r="B60" s="112" t="s">
        <v>193</v>
      </c>
      <c r="C60" s="113" t="s">
        <v>147</v>
      </c>
      <c r="D60" s="157">
        <v>1.0269999999999999</v>
      </c>
      <c r="F60"/>
    </row>
    <row r="61" spans="2:6" ht="15" hidden="1" x14ac:dyDescent="0.2">
      <c r="B61" s="112" t="s">
        <v>194</v>
      </c>
      <c r="C61" s="113" t="s">
        <v>143</v>
      </c>
      <c r="D61" s="157">
        <v>0.98599999999999999</v>
      </c>
      <c r="F61"/>
    </row>
    <row r="62" spans="2:6" ht="15" hidden="1" x14ac:dyDescent="0.2">
      <c r="B62" s="112" t="s">
        <v>195</v>
      </c>
      <c r="C62" s="113" t="s">
        <v>145</v>
      </c>
      <c r="D62" s="157">
        <v>1.022</v>
      </c>
      <c r="F62"/>
    </row>
    <row r="63" spans="2:6" ht="15" hidden="1" x14ac:dyDescent="0.2">
      <c r="B63" s="112" t="s">
        <v>196</v>
      </c>
      <c r="C63" s="113" t="s">
        <v>143</v>
      </c>
      <c r="D63" s="157">
        <v>0.98599999999999999</v>
      </c>
      <c r="F63"/>
    </row>
    <row r="64" spans="2:6" ht="15" hidden="1" x14ac:dyDescent="0.2">
      <c r="B64" s="112" t="s">
        <v>197</v>
      </c>
      <c r="C64" s="112" t="s">
        <v>138</v>
      </c>
      <c r="D64" s="157">
        <v>0.96699999999999997</v>
      </c>
      <c r="F64"/>
    </row>
    <row r="65" spans="2:6" ht="15" hidden="1" x14ac:dyDescent="0.2">
      <c r="B65" s="112" t="s">
        <v>198</v>
      </c>
      <c r="C65" s="113" t="s">
        <v>162</v>
      </c>
      <c r="D65" s="157">
        <v>1.0029999999999999</v>
      </c>
      <c r="F65"/>
    </row>
    <row r="66" spans="2:6" ht="15" hidden="1" x14ac:dyDescent="0.2">
      <c r="B66" s="112" t="s">
        <v>199</v>
      </c>
      <c r="C66" s="112" t="s">
        <v>138</v>
      </c>
      <c r="D66" s="157">
        <v>0.96699999999999997</v>
      </c>
      <c r="F66"/>
    </row>
    <row r="67" spans="2:6" ht="15" hidden="1" x14ac:dyDescent="0.2">
      <c r="B67" s="112" t="s">
        <v>200</v>
      </c>
      <c r="C67" s="112" t="s">
        <v>138</v>
      </c>
      <c r="D67" s="157">
        <v>0.96699999999999997</v>
      </c>
      <c r="F67"/>
    </row>
    <row r="68" spans="2:6" ht="15" hidden="1" x14ac:dyDescent="0.2">
      <c r="B68" s="112" t="s">
        <v>201</v>
      </c>
      <c r="C68" s="113" t="s">
        <v>134</v>
      </c>
      <c r="D68" s="157">
        <v>0.99</v>
      </c>
      <c r="F68"/>
    </row>
    <row r="69" spans="2:6" ht="15" hidden="1" x14ac:dyDescent="0.2">
      <c r="B69" s="112" t="s">
        <v>202</v>
      </c>
      <c r="C69" s="113" t="s">
        <v>143</v>
      </c>
      <c r="D69" s="157">
        <v>0.98599999999999999</v>
      </c>
      <c r="F69"/>
    </row>
    <row r="70" spans="2:6" ht="15" hidden="1" x14ac:dyDescent="0.2">
      <c r="B70" s="112" t="s">
        <v>203</v>
      </c>
      <c r="C70" s="113" t="s">
        <v>204</v>
      </c>
      <c r="D70" s="157">
        <v>1.0249999999999999</v>
      </c>
      <c r="F70"/>
    </row>
    <row r="71" spans="2:6" ht="15" hidden="1" x14ac:dyDescent="0.2">
      <c r="B71" s="112" t="s">
        <v>205</v>
      </c>
      <c r="C71" s="112" t="s">
        <v>138</v>
      </c>
      <c r="D71" s="157">
        <v>0.96699999999999997</v>
      </c>
      <c r="F71"/>
    </row>
    <row r="72" spans="2:6" ht="15" hidden="1" x14ac:dyDescent="0.2">
      <c r="B72" s="112" t="s">
        <v>206</v>
      </c>
      <c r="C72" s="112" t="s">
        <v>136</v>
      </c>
      <c r="D72" s="157">
        <v>1.004</v>
      </c>
      <c r="F72"/>
    </row>
    <row r="73" spans="2:6" ht="15" hidden="1" x14ac:dyDescent="0.2">
      <c r="B73" s="112" t="s">
        <v>207</v>
      </c>
      <c r="C73" s="112" t="s">
        <v>138</v>
      </c>
      <c r="D73" s="157">
        <v>0.96699999999999997</v>
      </c>
      <c r="F73"/>
    </row>
    <row r="74" spans="2:6" ht="15" hidden="1" x14ac:dyDescent="0.2">
      <c r="B74" s="112" t="s">
        <v>208</v>
      </c>
      <c r="C74" s="113" t="s">
        <v>143</v>
      </c>
      <c r="D74" s="157">
        <v>0.98599999999999999</v>
      </c>
      <c r="F74"/>
    </row>
    <row r="75" spans="2:6" ht="15" hidden="1" x14ac:dyDescent="0.2">
      <c r="B75" s="112" t="s">
        <v>209</v>
      </c>
      <c r="C75" s="113" t="s">
        <v>143</v>
      </c>
      <c r="D75" s="157">
        <v>0.98599999999999999</v>
      </c>
      <c r="F75"/>
    </row>
    <row r="76" spans="2:6" ht="15" hidden="1" x14ac:dyDescent="0.2">
      <c r="B76" s="112" t="s">
        <v>210</v>
      </c>
      <c r="C76" s="113" t="s">
        <v>147</v>
      </c>
      <c r="D76" s="157">
        <v>1.0269999999999999</v>
      </c>
      <c r="F76"/>
    </row>
    <row r="77" spans="2:6" ht="15" hidden="1" x14ac:dyDescent="0.2">
      <c r="B77" s="112" t="s">
        <v>211</v>
      </c>
      <c r="C77" s="113" t="s">
        <v>143</v>
      </c>
      <c r="D77" s="157">
        <v>0.98599999999999999</v>
      </c>
      <c r="F77"/>
    </row>
    <row r="78" spans="2:6" ht="15" hidden="1" x14ac:dyDescent="0.2">
      <c r="B78" s="112" t="s">
        <v>212</v>
      </c>
      <c r="C78" s="112" t="s">
        <v>138</v>
      </c>
      <c r="D78" s="157">
        <v>0.96699999999999997</v>
      </c>
      <c r="F78"/>
    </row>
    <row r="79" spans="2:6" ht="15" hidden="1" x14ac:dyDescent="0.2">
      <c r="B79" s="112" t="s">
        <v>216</v>
      </c>
      <c r="C79" s="113" t="s">
        <v>149</v>
      </c>
      <c r="D79" s="157">
        <v>0.96499999999999997</v>
      </c>
      <c r="F79"/>
    </row>
    <row r="80" spans="2:6" ht="15" hidden="1" x14ac:dyDescent="0.2">
      <c r="B80" s="112" t="s">
        <v>213</v>
      </c>
      <c r="C80" s="112" t="s">
        <v>136</v>
      </c>
      <c r="D80" s="157">
        <v>1.004</v>
      </c>
      <c r="F80"/>
    </row>
    <row r="81" spans="2:6" ht="15" hidden="1" x14ac:dyDescent="0.2">
      <c r="B81" s="112" t="s">
        <v>214</v>
      </c>
      <c r="C81" s="113" t="s">
        <v>136</v>
      </c>
      <c r="D81" s="157">
        <v>1.004</v>
      </c>
      <c r="F81"/>
    </row>
    <row r="82" spans="2:6" ht="15" hidden="1" x14ac:dyDescent="0.2">
      <c r="B82" s="112" t="s">
        <v>215</v>
      </c>
      <c r="C82" s="113" t="s">
        <v>136</v>
      </c>
      <c r="D82" s="157">
        <v>1.004</v>
      </c>
      <c r="F82"/>
    </row>
    <row r="83" spans="2:6" ht="15" hidden="1" x14ac:dyDescent="0.2">
      <c r="B83" s="112" t="s">
        <v>217</v>
      </c>
      <c r="C83" s="113" t="s">
        <v>141</v>
      </c>
      <c r="D83" s="157">
        <v>1.0169999999999999</v>
      </c>
      <c r="F83"/>
    </row>
    <row r="84" spans="2:6" ht="15" hidden="1" x14ac:dyDescent="0.2">
      <c r="B84" s="112" t="s">
        <v>218</v>
      </c>
      <c r="C84" s="113" t="s">
        <v>147</v>
      </c>
      <c r="D84" s="157">
        <v>1.0269999999999999</v>
      </c>
      <c r="F84"/>
    </row>
    <row r="85" spans="2:6" ht="15" hidden="1" x14ac:dyDescent="0.2">
      <c r="B85" s="112" t="s">
        <v>219</v>
      </c>
      <c r="C85" s="112" t="s">
        <v>138</v>
      </c>
      <c r="D85" s="157">
        <v>0.96699999999999997</v>
      </c>
      <c r="F85"/>
    </row>
    <row r="86" spans="2:6" ht="15" hidden="1" x14ac:dyDescent="0.2">
      <c r="B86" s="112" t="s">
        <v>220</v>
      </c>
      <c r="C86" s="113" t="s">
        <v>143</v>
      </c>
      <c r="D86" s="157">
        <v>0.98599999999999999</v>
      </c>
      <c r="F86"/>
    </row>
    <row r="87" spans="2:6" ht="15" hidden="1" x14ac:dyDescent="0.2">
      <c r="B87" s="112" t="s">
        <v>221</v>
      </c>
      <c r="C87" s="112" t="s">
        <v>138</v>
      </c>
      <c r="D87" s="157">
        <v>0.96699999999999997</v>
      </c>
      <c r="F87"/>
    </row>
    <row r="88" spans="2:6" ht="15" hidden="1" x14ac:dyDescent="0.2">
      <c r="B88" s="112" t="s">
        <v>222</v>
      </c>
      <c r="C88" s="112" t="s">
        <v>138</v>
      </c>
      <c r="D88" s="157">
        <v>0.96699999999999997</v>
      </c>
      <c r="F88"/>
    </row>
    <row r="89" spans="2:6" ht="15" hidden="1" x14ac:dyDescent="0.2">
      <c r="B89" s="112" t="s">
        <v>223</v>
      </c>
      <c r="C89" s="113" t="s">
        <v>162</v>
      </c>
      <c r="D89" s="157">
        <v>1.0029999999999999</v>
      </c>
      <c r="F89"/>
    </row>
    <row r="90" spans="2:6" ht="15" hidden="1" x14ac:dyDescent="0.2">
      <c r="B90" s="112" t="s">
        <v>224</v>
      </c>
      <c r="C90" s="112" t="s">
        <v>138</v>
      </c>
      <c r="D90" s="157">
        <v>0.96699999999999997</v>
      </c>
      <c r="F90"/>
    </row>
    <row r="91" spans="2:6" ht="15" hidden="1" x14ac:dyDescent="0.2">
      <c r="B91" s="112" t="s">
        <v>225</v>
      </c>
      <c r="C91" s="113" t="s">
        <v>147</v>
      </c>
      <c r="D91" s="157">
        <v>1.0269999999999999</v>
      </c>
      <c r="F91"/>
    </row>
    <row r="92" spans="2:6" ht="15" hidden="1" x14ac:dyDescent="0.2">
      <c r="B92" s="112" t="s">
        <v>226</v>
      </c>
      <c r="C92" s="112" t="s">
        <v>136</v>
      </c>
      <c r="D92" s="157">
        <v>1.004</v>
      </c>
      <c r="F92"/>
    </row>
    <row r="93" spans="2:6" ht="15" hidden="1" x14ac:dyDescent="0.2">
      <c r="B93" s="112" t="s">
        <v>227</v>
      </c>
      <c r="C93" s="113" t="s">
        <v>147</v>
      </c>
      <c r="D93" s="157">
        <v>1.0269999999999999</v>
      </c>
      <c r="F93"/>
    </row>
    <row r="94" spans="2:6" ht="15" hidden="1" x14ac:dyDescent="0.2">
      <c r="B94" s="112" t="s">
        <v>228</v>
      </c>
      <c r="C94" s="112" t="s">
        <v>138</v>
      </c>
      <c r="D94" s="157">
        <v>0.96699999999999997</v>
      </c>
      <c r="F94"/>
    </row>
    <row r="95" spans="2:6" ht="15" hidden="1" x14ac:dyDescent="0.2">
      <c r="B95" s="112" t="s">
        <v>229</v>
      </c>
      <c r="C95" s="113" t="s">
        <v>147</v>
      </c>
      <c r="D95" s="157">
        <v>1.0269999999999999</v>
      </c>
      <c r="F95"/>
    </row>
    <row r="96" spans="2:6" ht="15" hidden="1" x14ac:dyDescent="0.2">
      <c r="B96" s="112" t="s">
        <v>230</v>
      </c>
      <c r="C96" s="113" t="s">
        <v>136</v>
      </c>
      <c r="D96" s="157">
        <v>1.004</v>
      </c>
      <c r="F96"/>
    </row>
    <row r="97" spans="2:6" ht="15" hidden="1" x14ac:dyDescent="0.2">
      <c r="B97" s="129" t="s">
        <v>231</v>
      </c>
      <c r="C97" s="130" t="s">
        <v>143</v>
      </c>
      <c r="D97" s="158">
        <v>0.98599999999999999</v>
      </c>
      <c r="F97"/>
    </row>
    <row r="98" spans="2:6" hidden="1" x14ac:dyDescent="0.2">
      <c r="B98" s="131" t="s">
        <v>235</v>
      </c>
      <c r="C98" s="131" t="s">
        <v>138</v>
      </c>
      <c r="D98" s="159">
        <v>0.96699999999999997</v>
      </c>
    </row>
    <row r="99" spans="2:6" hidden="1" x14ac:dyDescent="0.2">
      <c r="B99" s="131" t="s">
        <v>236</v>
      </c>
      <c r="C99" s="131" t="s">
        <v>138</v>
      </c>
      <c r="D99" s="159">
        <v>0.96699999999999997</v>
      </c>
    </row>
    <row r="100" spans="2:6" hidden="1" x14ac:dyDescent="0.2">
      <c r="B100" s="131" t="s">
        <v>237</v>
      </c>
      <c r="C100" s="131" t="s">
        <v>143</v>
      </c>
      <c r="D100" s="159">
        <v>0.98599999999999999</v>
      </c>
    </row>
    <row r="101" spans="2:6" hidden="1" x14ac:dyDescent="0.2">
      <c r="B101" s="131" t="s">
        <v>238</v>
      </c>
      <c r="C101" s="131" t="s">
        <v>136</v>
      </c>
      <c r="D101" s="159">
        <v>1.004</v>
      </c>
    </row>
    <row r="102" spans="2:6" hidden="1" x14ac:dyDescent="0.2">
      <c r="B102" s="131" t="s">
        <v>239</v>
      </c>
      <c r="C102" s="131" t="s">
        <v>143</v>
      </c>
      <c r="D102" s="159">
        <v>0.98599999999999999</v>
      </c>
    </row>
    <row r="103" spans="2:6" hidden="1" x14ac:dyDescent="0.2">
      <c r="B103" s="131" t="s">
        <v>240</v>
      </c>
      <c r="C103" s="131" t="s">
        <v>136</v>
      </c>
      <c r="D103" s="159">
        <v>1.004</v>
      </c>
    </row>
    <row r="104" spans="2:6" hidden="1" x14ac:dyDescent="0.2">
      <c r="B104" s="131" t="s">
        <v>241</v>
      </c>
      <c r="C104" s="131" t="s">
        <v>134</v>
      </c>
      <c r="D104" s="160">
        <v>0.99</v>
      </c>
    </row>
    <row r="105" spans="2:6" hidden="1" x14ac:dyDescent="0.2">
      <c r="B105" s="131" t="s">
        <v>242</v>
      </c>
      <c r="C105" s="131" t="s">
        <v>149</v>
      </c>
      <c r="D105" s="159">
        <v>0.96499999999999997</v>
      </c>
    </row>
    <row r="106" spans="2:6" hidden="1" x14ac:dyDescent="0.2">
      <c r="B106" s="131" t="s">
        <v>243</v>
      </c>
      <c r="C106" s="131" t="s">
        <v>138</v>
      </c>
      <c r="D106" s="160">
        <v>0.96699999999999997</v>
      </c>
    </row>
    <row r="107" spans="2:6" hidden="1" x14ac:dyDescent="0.2">
      <c r="B107" s="131" t="s">
        <v>244</v>
      </c>
      <c r="C107" s="131" t="s">
        <v>134</v>
      </c>
      <c r="D107" s="160">
        <v>0.99</v>
      </c>
    </row>
    <row r="108" spans="2:6" hidden="1" x14ac:dyDescent="0.2">
      <c r="B108" s="131" t="s">
        <v>245</v>
      </c>
      <c r="C108" s="131" t="s">
        <v>147</v>
      </c>
      <c r="D108" s="159">
        <v>1.0269999999999999</v>
      </c>
    </row>
  </sheetData>
  <sheetProtection algorithmName="SHA-512" hashValue="HYMpyT6vogManvALIb/p1AtoJpEELiQIHfGNXbaNkOsN1NHyZXFrHFm68Q/rQwgwVt36hEitD2P1EIjtZAvlag==" saltValue="nefNENRGFq+MSd7CLD3hL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700-000000000000}">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1"/>
  <sheetViews>
    <sheetView zoomScale="125" workbookViewId="0">
      <selection activeCell="F4" sqref="F4"/>
    </sheetView>
  </sheetViews>
  <sheetFormatPr defaultColWidth="9.140625" defaultRowHeight="12.75" x14ac:dyDescent="0.2"/>
  <cols>
    <col min="1" max="1" width="37.85546875" style="37" customWidth="1"/>
    <col min="2" max="2" width="20.7109375" style="37" bestFit="1" customWidth="1"/>
    <col min="3" max="3" width="14.140625" style="37" customWidth="1"/>
    <col min="4" max="4" width="16" style="37" customWidth="1"/>
    <col min="5" max="5" width="14.140625" style="125" customWidth="1"/>
    <col min="6" max="6" width="11.28515625" style="37" bestFit="1" customWidth="1"/>
    <col min="7" max="16384" width="9.140625" style="37"/>
  </cols>
  <sheetData>
    <row r="1" spans="1:6" ht="15" x14ac:dyDescent="0.2">
      <c r="A1" s="36" t="s">
        <v>71</v>
      </c>
      <c r="C1" s="35"/>
      <c r="D1" s="35"/>
      <c r="E1" s="122"/>
      <c r="F1" s="35"/>
    </row>
    <row r="2" spans="1:6" x14ac:dyDescent="0.2">
      <c r="A2" s="38"/>
      <c r="B2" s="38"/>
      <c r="C2" s="38"/>
      <c r="D2" s="38"/>
      <c r="E2" s="122"/>
      <c r="F2" s="35"/>
    </row>
    <row r="3" spans="1:6" x14ac:dyDescent="0.2">
      <c r="A3" s="39" t="s">
        <v>12</v>
      </c>
      <c r="B3" s="35"/>
      <c r="C3" s="35"/>
      <c r="D3" s="5" t="s">
        <v>90</v>
      </c>
      <c r="E3" s="122"/>
      <c r="F3" s="35"/>
    </row>
    <row r="4" spans="1:6" x14ac:dyDescent="0.2">
      <c r="A4" s="66" t="s">
        <v>109</v>
      </c>
      <c r="B4" s="155">
        <f>'Direct Staffing'!C34</f>
        <v>131.92415081999999</v>
      </c>
      <c r="D4" s="42">
        <f>B4</f>
        <v>131.92415081999999</v>
      </c>
      <c r="E4" s="122"/>
      <c r="F4" s="35"/>
    </row>
    <row r="5" spans="1:6" x14ac:dyDescent="0.2">
      <c r="A5" s="38"/>
      <c r="B5" s="38"/>
      <c r="C5" s="38"/>
      <c r="D5" s="38"/>
      <c r="E5" s="122"/>
      <c r="F5" s="35"/>
    </row>
    <row r="6" spans="1:6" x14ac:dyDescent="0.2">
      <c r="A6" s="39" t="s">
        <v>32</v>
      </c>
      <c r="B6" s="35"/>
      <c r="C6" s="35"/>
      <c r="D6" s="35"/>
      <c r="E6" s="122"/>
      <c r="F6" s="35"/>
    </row>
    <row r="7" spans="1:6" x14ac:dyDescent="0.2">
      <c r="A7" s="40" t="s">
        <v>72</v>
      </c>
      <c r="B7" s="51">
        <f>'Program Plan Support'!C9</f>
        <v>5.6000000000000001E-2</v>
      </c>
      <c r="D7" s="42">
        <f>ROUND(B7*D4,4)</f>
        <v>7.3878000000000004</v>
      </c>
      <c r="E7" s="122"/>
      <c r="F7" s="35"/>
    </row>
    <row r="8" spans="1:6" x14ac:dyDescent="0.2">
      <c r="A8" s="38"/>
      <c r="B8" s="38"/>
      <c r="C8" s="38"/>
      <c r="D8" s="38"/>
      <c r="E8" s="122"/>
      <c r="F8" s="35"/>
    </row>
    <row r="9" spans="1:6" x14ac:dyDescent="0.2">
      <c r="A9" s="39" t="s">
        <v>1</v>
      </c>
      <c r="B9" s="35"/>
      <c r="C9" s="35"/>
      <c r="D9" s="35"/>
      <c r="E9" s="122"/>
      <c r="F9" s="35"/>
    </row>
    <row r="10" spans="1:6" x14ac:dyDescent="0.2">
      <c r="A10" s="40" t="s">
        <v>10</v>
      </c>
      <c r="B10" s="52">
        <f>'Emp. Related Exp.'!C19</f>
        <v>0.23599999999999999</v>
      </c>
      <c r="C10" s="42"/>
      <c r="D10" s="42">
        <f>ROUND(B10*(D4+D7),4)</f>
        <v>32.877600000000001</v>
      </c>
      <c r="E10" s="122"/>
      <c r="F10" s="35"/>
    </row>
    <row r="11" spans="1:6" ht="16.5" customHeight="1" x14ac:dyDescent="0.2">
      <c r="A11" s="38"/>
      <c r="B11" s="38"/>
      <c r="C11" s="38"/>
      <c r="D11" s="38"/>
      <c r="E11" s="122"/>
      <c r="F11" s="35"/>
    </row>
    <row r="12" spans="1:6" x14ac:dyDescent="0.2">
      <c r="A12" s="39" t="s">
        <v>35</v>
      </c>
      <c r="B12" s="35"/>
      <c r="C12" s="35"/>
      <c r="D12" s="35"/>
      <c r="E12" s="122"/>
      <c r="F12" s="35"/>
    </row>
    <row r="13" spans="1:6" x14ac:dyDescent="0.2">
      <c r="A13" s="43" t="s">
        <v>36</v>
      </c>
      <c r="B13" s="156">
        <f>'Client Programming &amp; Supports'!C9</f>
        <v>8.9800000000000005E-2</v>
      </c>
      <c r="D13" s="44">
        <f>ROUND((D4+D7+D10)*B13,4)</f>
        <v>15.4626</v>
      </c>
      <c r="E13" s="122"/>
      <c r="F13" s="35"/>
    </row>
    <row r="14" spans="1:6" x14ac:dyDescent="0.2">
      <c r="A14" s="38"/>
      <c r="B14" s="38"/>
      <c r="C14" s="38"/>
      <c r="D14" s="38"/>
      <c r="E14" s="122"/>
      <c r="F14" s="35"/>
    </row>
    <row r="15" spans="1:6" x14ac:dyDescent="0.2">
      <c r="A15" s="39" t="s">
        <v>47</v>
      </c>
      <c r="B15" s="35"/>
      <c r="C15" s="35"/>
      <c r="D15" s="35"/>
      <c r="E15" s="122"/>
      <c r="F15" s="35"/>
    </row>
    <row r="16" spans="1:6" x14ac:dyDescent="0.2">
      <c r="A16" s="43" t="s">
        <v>73</v>
      </c>
      <c r="B16" s="45">
        <f>Meals!E8</f>
        <v>0</v>
      </c>
      <c r="D16" s="44">
        <f>B16</f>
        <v>0</v>
      </c>
      <c r="E16" s="122"/>
      <c r="F16" s="35"/>
    </row>
    <row r="17" spans="1:6" x14ac:dyDescent="0.2">
      <c r="A17" s="38"/>
      <c r="B17" s="38"/>
      <c r="C17" s="38"/>
      <c r="D17" s="38"/>
      <c r="E17" s="122"/>
      <c r="F17" s="35"/>
    </row>
    <row r="18" spans="1:6" x14ac:dyDescent="0.2">
      <c r="A18" s="39" t="s">
        <v>51</v>
      </c>
      <c r="B18" s="35"/>
      <c r="C18" s="35"/>
      <c r="D18" s="35"/>
      <c r="E18" s="122"/>
      <c r="F18" s="35"/>
    </row>
    <row r="19" spans="1:6" x14ac:dyDescent="0.2">
      <c r="A19" s="43" t="s">
        <v>74</v>
      </c>
      <c r="B19" s="46">
        <f>'Program Facility'!C5</f>
        <v>9.7119999999999997</v>
      </c>
      <c r="D19" s="44">
        <f>B19</f>
        <v>9.7119999999999997</v>
      </c>
      <c r="E19" s="122"/>
      <c r="F19" s="35"/>
    </row>
    <row r="20" spans="1:6" x14ac:dyDescent="0.2">
      <c r="A20" s="38"/>
      <c r="B20" s="38"/>
      <c r="C20" s="38"/>
      <c r="D20" s="38"/>
      <c r="E20" s="122"/>
      <c r="F20" s="35"/>
    </row>
    <row r="21" spans="1:6" x14ac:dyDescent="0.2">
      <c r="A21" s="39" t="s">
        <v>14</v>
      </c>
      <c r="B21" s="35"/>
      <c r="C21" s="35"/>
      <c r="D21" s="35"/>
      <c r="E21" s="122"/>
      <c r="F21" s="35"/>
    </row>
    <row r="22" spans="1:6" x14ac:dyDescent="0.2">
      <c r="A22" s="40" t="s">
        <v>13</v>
      </c>
      <c r="B22" s="53">
        <f>'Program Related Expenses'!E8</f>
        <v>0.2445</v>
      </c>
      <c r="C22" s="42"/>
      <c r="D22" s="42">
        <f>E22-(D4+D7+D10+D13+D16+D19)</f>
        <v>63.872349179999986</v>
      </c>
      <c r="E22" s="123">
        <f>ROUND((D4+D7+D10+D13+D16+D19)/(1-B22),4)</f>
        <v>261.23649999999998</v>
      </c>
      <c r="F22" s="35"/>
    </row>
    <row r="23" spans="1:6" x14ac:dyDescent="0.2">
      <c r="A23" s="114"/>
      <c r="B23" s="115"/>
      <c r="C23" s="42"/>
      <c r="D23" s="42"/>
      <c r="E23" s="122"/>
      <c r="F23" s="35"/>
    </row>
    <row r="24" spans="1:6" x14ac:dyDescent="0.2">
      <c r="A24" s="39" t="s">
        <v>232</v>
      </c>
      <c r="B24" s="116"/>
      <c r="C24" s="117"/>
      <c r="D24" s="117"/>
      <c r="E24" s="122"/>
      <c r="F24" s="35"/>
    </row>
    <row r="25" spans="1:6" x14ac:dyDescent="0.2">
      <c r="A25" s="62" t="s">
        <v>233</v>
      </c>
      <c r="B25" s="118" t="str">
        <f>'Regional Variance Factor'!B7</f>
        <v>-</v>
      </c>
      <c r="C25" s="119"/>
      <c r="D25" s="120" t="str">
        <f>IF((B25&lt;&gt;"-"),((E22*B25)-E22),"Select County")</f>
        <v>Select County</v>
      </c>
      <c r="E25" s="124" t="e">
        <f>(E22)*B25</f>
        <v>#VALUE!</v>
      </c>
      <c r="F25" s="121"/>
    </row>
    <row r="26" spans="1:6" x14ac:dyDescent="0.2">
      <c r="A26" s="114"/>
      <c r="B26" s="115"/>
      <c r="C26" s="42"/>
      <c r="D26" s="42"/>
      <c r="E26" s="122"/>
      <c r="F26" s="35"/>
    </row>
    <row r="27" spans="1:6" x14ac:dyDescent="0.2">
      <c r="A27" s="47" t="s">
        <v>234</v>
      </c>
      <c r="B27" s="41" t="str">
        <f>D27</f>
        <v>Select County</v>
      </c>
      <c r="D27" s="105" t="str">
        <f>IF((B25&lt;&gt;"-"),E22+D25,"Select County")</f>
        <v>Select County</v>
      </c>
      <c r="E27" s="122"/>
      <c r="F27" s="35"/>
    </row>
    <row r="28" spans="1:6" ht="12.6" customHeight="1" x14ac:dyDescent="0.2">
      <c r="A28" s="38"/>
      <c r="B28" s="38"/>
      <c r="C28" s="38"/>
      <c r="D28" s="38"/>
      <c r="E28" s="122"/>
      <c r="F28" s="35"/>
    </row>
    <row r="29" spans="1:6" s="136" customFormat="1" hidden="1" x14ac:dyDescent="0.2">
      <c r="A29" s="134" t="s">
        <v>96</v>
      </c>
      <c r="B29" s="135">
        <v>1</v>
      </c>
      <c r="E29" s="137"/>
    </row>
    <row r="30" spans="1:6" s="136" customFormat="1" hidden="1" x14ac:dyDescent="0.2">
      <c r="A30" s="138" t="s">
        <v>110</v>
      </c>
      <c r="B30" s="139" t="str">
        <f>IF((B25&lt;&gt;"-"),(100%-B29)*B27,"-")</f>
        <v>-</v>
      </c>
      <c r="E30" s="137"/>
    </row>
    <row r="31" spans="1:6" s="136" customFormat="1" hidden="1" x14ac:dyDescent="0.2">
      <c r="A31" s="140"/>
      <c r="B31" s="141"/>
      <c r="E31" s="137"/>
    </row>
    <row r="32" spans="1:6" x14ac:dyDescent="0.2">
      <c r="A32" s="39" t="s">
        <v>246</v>
      </c>
    </row>
    <row r="33" spans="1:2" x14ac:dyDescent="0.2">
      <c r="A33" s="62" t="s">
        <v>117</v>
      </c>
      <c r="B33" s="46" t="str">
        <f>IF((B25&lt;&gt;"-"),B27+B30,"Select County")</f>
        <v>Select County</v>
      </c>
    </row>
    <row r="35" spans="1:2" hidden="1" x14ac:dyDescent="0.2">
      <c r="A35" s="39" t="s">
        <v>115</v>
      </c>
      <c r="B35" s="116">
        <v>0.01</v>
      </c>
    </row>
    <row r="36" spans="1:2" hidden="1" x14ac:dyDescent="0.2">
      <c r="A36" s="62" t="s">
        <v>116</v>
      </c>
      <c r="B36" s="46" t="str">
        <f>IF((B25&lt;&gt;"-"),ROUND(B33*B35,2),"-")</f>
        <v>-</v>
      </c>
    </row>
    <row r="37" spans="1:2" hidden="1" x14ac:dyDescent="0.2"/>
    <row r="38" spans="1:2" hidden="1" x14ac:dyDescent="0.2">
      <c r="A38" s="39" t="s">
        <v>121</v>
      </c>
    </row>
    <row r="39" spans="1:2" hidden="1" x14ac:dyDescent="0.2">
      <c r="A39" s="62" t="s">
        <v>118</v>
      </c>
      <c r="B39" s="46" t="str">
        <f>IF((B25&lt;&gt;"-"),B33+B36,"-")</f>
        <v>-</v>
      </c>
    </row>
    <row r="40" spans="1:2" hidden="1" x14ac:dyDescent="0.2"/>
    <row r="41" spans="1:2" hidden="1" x14ac:dyDescent="0.2">
      <c r="A41" s="39" t="s">
        <v>119</v>
      </c>
      <c r="B41" s="116">
        <v>0.05</v>
      </c>
    </row>
    <row r="42" spans="1:2" hidden="1" x14ac:dyDescent="0.2">
      <c r="A42" s="62" t="s">
        <v>116</v>
      </c>
      <c r="B42" s="46" t="str">
        <f>IF((B25&lt;&gt;"-"),(B39)*B41,"-")</f>
        <v>-</v>
      </c>
    </row>
    <row r="43" spans="1:2" hidden="1" x14ac:dyDescent="0.2"/>
    <row r="44" spans="1:2" hidden="1" x14ac:dyDescent="0.2">
      <c r="A44" s="39" t="s">
        <v>120</v>
      </c>
    </row>
    <row r="45" spans="1:2" hidden="1" x14ac:dyDescent="0.2">
      <c r="A45" s="62" t="s">
        <v>118</v>
      </c>
      <c r="B45" s="46" t="str">
        <f>IF((B25&lt;&gt;"-"),B39+B42,"-")</f>
        <v>-</v>
      </c>
    </row>
    <row r="46" spans="1:2" hidden="1" x14ac:dyDescent="0.2"/>
    <row r="47" spans="1:2" hidden="1" x14ac:dyDescent="0.2">
      <c r="A47" s="39" t="s">
        <v>122</v>
      </c>
      <c r="B47" s="116">
        <v>0.01</v>
      </c>
    </row>
    <row r="48" spans="1:2" hidden="1" x14ac:dyDescent="0.2">
      <c r="A48" s="62" t="s">
        <v>116</v>
      </c>
      <c r="B48" s="46" t="str">
        <f>IF((B25&lt;&gt;"-"),(B45)*B47,"-")</f>
        <v>-</v>
      </c>
    </row>
    <row r="49" spans="1:2" hidden="1" x14ac:dyDescent="0.2"/>
    <row r="50" spans="1:2" hidden="1" x14ac:dyDescent="0.2">
      <c r="A50" s="39" t="s">
        <v>123</v>
      </c>
    </row>
    <row r="51" spans="1:2" hidden="1" x14ac:dyDescent="0.2">
      <c r="A51" s="62" t="s">
        <v>118</v>
      </c>
      <c r="B51" s="46" t="str">
        <f>IF((B25&lt;&gt;"-"),B45+B48,"Select County")</f>
        <v>Select County</v>
      </c>
    </row>
  </sheetData>
  <sheetProtection algorithmName="SHA-512" hashValue="cCyNLRBHyzRPMbkTj3ot8yxqwmiz07z+wTkjHwijCWRw2bvVoXM8jJaCAfE2DhUat0c/3x4T9uC2om2f81a50Q==" saltValue="I/etQahtNhXK6rFDPJ20ig==" spinCount="100000" sheet="1" objects="1" scenarios="1"/>
  <phoneticPr fontId="2" type="noConversion"/>
  <dataValidations xWindow="571" yWindow="735" count="24">
    <dataValidation allowBlank="1" showInputMessage="1" showErrorMessage="1" prompt="Staffing Costs per Day formula is equal Total Individual Staffing Amount from Direct Staffing sheet" sqref="B4" xr:uid="{00000000-0002-0000-0800-000000000000}"/>
    <dataValidation allowBlank="1" showInputMessage="1" showErrorMessage="1" prompt="Cost for Staffing per Day Rate Calculation formula is equal to Staffing Cost per Day" sqref="D4" xr:uid="{00000000-0002-0000-0800-000001000000}"/>
    <dataValidation allowBlank="1" showInputMessage="1" showErrorMessage="1" prompt="Program Support Standard formula is equal to Program Support Percentage from Program Plan Support sheet" sqref="B7" xr:uid="{00000000-0002-0000-0800-000002000000}"/>
    <dataValidation allowBlank="1" showInputMessage="1" showErrorMessage="1" prompt="Program Support Rate Calculation formula is Program Support Standard times Staffing per Day Rate" sqref="D7" xr:uid="{00000000-0002-0000-0800-000003000000}"/>
    <dataValidation allowBlank="1" showInputMessage="1" showErrorMessage="1" prompt="Benefit Percentage formula is equal to Emplyee Related Expense Percentage from Emp. Related Exp. sheet" sqref="B10" xr:uid="{00000000-0002-0000-0800-000004000000}"/>
    <dataValidation allowBlank="1" showInputMessage="1" showErrorMessage="1" prompt="Employee Related Expense Rate Calculation formula is Benefit Percentage times the sum of (Staffing per Day Rate plus Program Support Rate)" sqref="D10" xr:uid="{00000000-0002-0000-0800-000005000000}"/>
    <dataValidation allowBlank="1" showInputMessage="1" showErrorMessage="1" prompt="Client Programming and Supports Standard formula is equal to Client Programming and Supports Percentage from Client Programming &amp; Supports sheet" sqref="B13" xr:uid="{00000000-0002-0000-0800-000006000000}"/>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xr:uid="{00000000-0002-0000-0800-000007000000}"/>
    <dataValidation allowBlank="1" showInputMessage="1" showErrorMessage="1" prompt="Meal Cost formula is equal to Total Meal Reimbursement from Meals sheet" sqref="B16" xr:uid="{00000000-0002-0000-0800-000008000000}"/>
    <dataValidation allowBlank="1" showInputMessage="1" showErrorMessage="1" prompt="Meals Rate Calculation formula is equeal to Meal Cost" sqref="D16" xr:uid="{00000000-0002-0000-0800-000009000000}"/>
    <dataValidation allowBlank="1" showInputMessage="1" showErrorMessage="1" prompt="Program Facility Cost formula is equal to Daily Facility Cost from Program Facility sheet" sqref="B19" xr:uid="{00000000-0002-0000-0800-00000A000000}"/>
    <dataValidation allowBlank="1" showInputMessage="1" showErrorMessage="1" prompt="Program Facility Rate formula is equal to Program Facility Cost" sqref="D19" xr:uid="{00000000-0002-0000-0800-00000B000000}"/>
    <dataValidation allowBlank="1" showInputMessage="1" showErrorMessage="1" prompt="G&amp;A Standard formula is equal to Program Related Expenses from Program Related Expenses sheet" sqref="B22:B23 B26" xr:uid="{00000000-0002-0000-0800-00000C000000}"/>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xr:uid="{00000000-0002-0000-0800-00000D000000}"/>
    <dataValidation allowBlank="1" showInputMessage="1" showErrorMessage="1" prompt="Daily Rate formula is equal to Total Daily Rate" sqref="B27" xr:uid="{00000000-0002-0000-0800-00000E000000}"/>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xr:uid="{00000000-0002-0000-0800-00000F000000}"/>
    <dataValidation allowBlank="1" showInputMessage="1" showErrorMessage="1" prompt="Budget Neutrality Rate" sqref="B24 B29" xr:uid="{00000000-0002-0000-0800-000010000000}"/>
    <dataValidation allowBlank="1" showInputMessage="1" showErrorMessage="1" prompt="4/1/2014 COLA" sqref="B35 B41 B47" xr:uid="{00000000-0002-0000-0800-000011000000}"/>
    <dataValidation allowBlank="1" showInputMessage="1" showErrorMessage="1" prompt="Unit Regional Variance formula is Unit Rate multiplied by the appropriate Regional Variance Factor" sqref="B25" xr:uid="{00000000-0002-0000-0800-000012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xr:uid="{00000000-0002-0000-0800-000013000000}"/>
    <dataValidation allowBlank="1" showInputMessage="1" showErrorMessage="1" prompt="Cost of Living Adjustment formula is Original Total Rate multiplied by the COLA" sqref="B36 B48 B42" xr:uid="{00000000-0002-0000-0800-000014000000}"/>
    <dataValidation allowBlank="1" showInputMessage="1" showErrorMessage="1" prompt="Original Total Daily Rate formula is the Daily Rate plus Budget Neutrality Factor" sqref="B33" xr:uid="{00000000-0002-0000-0800-000015000000}"/>
    <dataValidation allowBlank="1" showInputMessage="1" showErrorMessage="1" prompt="Post COLA Total Daily Rate formula is Daily Rate plus Cost of Living Adjustment" sqref="B39 B45 B51" xr:uid="{00000000-0002-0000-0800-000016000000}"/>
    <dataValidation allowBlank="1" showInputMessage="1" showErrorMessage="1" prompt="Daily Budget Neutrality formula is Daily Rate minus Daily Rate Base" sqref="B30:B31" xr:uid="{00000000-0002-0000-0800-000017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R23.12</Category_x002d_Req>
    <Sub_x0020_category_x002d_req_x003a_ xmlns="39dc04e4-1dc7-4207-b25c-d7db9724c689">Frameworks</Sub_x0020_category_x002d_req_x003a_>
    <_dlc_DocId xmlns="0cdeeaad-74a8-4021-893f-c7b31297a14c">S2EJPDAADAY4-1521811817-560</_dlc_DocId>
    <_dlc_DocIdUrl xmlns="0cdeeaad-74a8-4021-893f-c7b31297a14c">
      <Url>https://workplace/cc/MnSPA/_layouts/15/DocIdRedir.aspx?ID=S2EJPDAADAY4-1521811817-560</Url>
      <Description>S2EJPDAADAY4-1521811817-560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f4ac22fe5aa34a2eb84434a15b71bf1">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f72f344537ef4e4db5ff5ed55fe1250"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enumeration value="MnSP R23.6"/>
          <xsd:enumeration value="MnSP R23.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2.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3.xml><?xml version="1.0" encoding="utf-8"?>
<ds:datastoreItem xmlns:ds="http://schemas.openxmlformats.org/officeDocument/2006/customXml" ds:itemID="{3302848A-AE33-45F7-8486-6706290B6248}">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69753159-9E17-4F49-94F9-8140F3302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F2F1F45-66E9-4A29-AC91-17E996D214DE}">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Adult Day Services Daily v18</dc:title>
  <dc:creator>pwmfb67</dc:creator>
  <cp:lastModifiedBy>Pound, Elisabeth M (DHS)</cp:lastModifiedBy>
  <cp:lastPrinted>2010-07-26T14:38:27Z</cp:lastPrinted>
  <dcterms:created xsi:type="dcterms:W3CDTF">2009-10-20T14:58:44Z</dcterms:created>
  <dcterms:modified xsi:type="dcterms:W3CDTF">2024-12-05T16:34:11Z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