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25" yWindow="675"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Structured Day Rate Framework" sheetId="8" r:id="rId8"/>
    <sheet name="Version" sheetId="9" state="hidden" r:id="rId9"/>
  </sheets>
  <definedNames>
    <definedName name="Budget_Neutrality">'Structured Day Rate Framework'!$A$26:$B$27</definedName>
    <definedName name="columntitleregion1.b14.g20.1">'Direct Staffing'!$A$13:$F$15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<sst xmlns="http://schemas.openxmlformats.org/spreadsheetml/2006/main" count="338" uniqueCount="243">
  <si>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</si>
  <si>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</si>
  <si>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</si>
  <si>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</si>
  <si>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</si>
  <si>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</si>
  <si>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</si>
  <si>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</si>
  <si>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</si>
  <si>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</si>
  <si>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</si>
  <si>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</si>
  <si>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</si>
  <si>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</si>
  <si>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</si>
  <si>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</si>
  <si>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</si>
  <si>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</si>
  <si>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</si>
  <si>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</si>
  <si>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</si>
  <si>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</si>
  <si>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</si>
  <si>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</si>
  <si>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</si>
  <si>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</si>
  <si>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</si>
  <si>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</si>
  <si>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</si>
  <si>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</si>
  <si>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</si>
  <si>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</si>
  <si>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</si>
  <si>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</si>
  <si>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</si>
  <si>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</si>
  <si>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</si>
  <si>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</si>
  <si>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</si>
  <si>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</si>
  <si>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</si>
  <si>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</si>
  <si>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</si>
  <si>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</si>
  <si>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</si>
  <si>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</si>
  <si>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</si>
  <si>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</si>
  <si>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</si>
  <si>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</si>
  <si>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</si>
  <si>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</si>
  <si>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</si>
  <si>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</si>
  <si>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</si>
  <si>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</si>
  <si>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</si>
  <si>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</si>
  <si>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</si>
  <si>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</si>
  <si>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</si>
  <si>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</si>
  <si>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</si>
  <si>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</si>
  <si>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</si>
  <si>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</si>
  <si>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</si>
  <si>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</si>
  <si>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</si>
  <si>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</si>
  <si>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</si>
  <si>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</si>
  <si>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</si>
  <si>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</si>
  <si>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</si>
  <si>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</si>
  <si>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</si>
  <si>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</si>
  <si>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</si>
  <si>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</si>
  <si>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</si>
  <si>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</si>
  <si>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</si>
  <si>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</si>
  <si>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</si>
  <si>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</si>
  <si>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</si>
  <si>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Hours per Day</t>
  </si>
  <si>
    <t>Total cost per day</t>
  </si>
  <si>
    <t>Hours Per Day</t>
  </si>
  <si>
    <t>Total Cost per Day</t>
  </si>
  <si>
    <t>Staffing Customization Amount per Day</t>
  </si>
  <si>
    <t>Pro-rated cost of staff per Day</t>
  </si>
  <si>
    <t>Total cost per Day</t>
  </si>
  <si>
    <t>Total  Hours per Day</t>
  </si>
  <si>
    <t>Rate per person per Day</t>
  </si>
  <si>
    <t>Daily Facility Cost</t>
  </si>
  <si>
    <t>Total costs for staffing per day</t>
  </si>
  <si>
    <t>Daily Rate</t>
  </si>
  <si>
    <t>RN</t>
  </si>
  <si>
    <t>Amount per Day</t>
  </si>
  <si>
    <t>LPN</t>
  </si>
  <si>
    <t>FRAMEWORK FOR STRUCTURED DAY SERVICES</t>
  </si>
  <si>
    <t>Direct service staff necessary to support and related to the provision of Structured Day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</si>
  <si>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Structured Day Service to provide in-program transportation for the participant to increase access to the community outside the Structured Day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</si>
  <si>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</si>
  <si>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</si>
  <si>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</si>
  <si>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</si>
  <si>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</si>
  <si>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reordered RN/LPN fields</t>
  </si>
  <si>
    <t>Date</t>
  </si>
  <si>
    <t>Update</t>
  </si>
  <si>
    <t>updated to reflect 4/1/2014 COLA increase of 1%</t>
  </si>
  <si>
    <t>4/1/2014 COLA</t>
  </si>
  <si>
    <t>Cost of Living Adjustment</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</si>
  <si>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</si>
  <si>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</si>
  <si>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</si>
  <si>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</si>
  <si>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</si>
  <si>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</si>
  <si>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</si>
  <si>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</si>
  <si>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</si>
  <si>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</si>
  <si>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</si>
  <si>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</si>
  <si>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</si>
  <si>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</si>
  <si>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</si>
  <si>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</si>
  <si>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</si>
  <si>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</si>
  <si>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</si>
  <si>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</si>
  <si>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</si>
  <si>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</si>
  <si>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</si>
  <si>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</si>
  <si>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</si>
  <si>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</si>
  <si>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</si>
  <si>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</si>
  <si>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</si>
  <si>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</si>
  <si>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</si>
  <si>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</si>
  <si>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</si>
  <si>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</si>
  <si>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</si>
  <si>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</si>
  <si>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</si>
  <si>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</si>
  <si>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</si>
  <si>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</si>
  <si>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</si>
  <si>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</si>
  <si>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</si>
  <si>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</si>
  <si>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</si>
  <si>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</si>
  <si>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</si>
  <si>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</si>
  <si>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</si>
  <si>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</si>
  <si>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</si>
  <si>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</si>
  <si>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</si>
  <si>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</si>
  <si>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</si>
  <si>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</si>
  <si>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</si>
  <si>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</si>
  <si>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</si>
  <si>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</si>
  <si>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</si>
  <si>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</si>
  <si>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</si>
  <si>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</si>
  <si>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</si>
  <si>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</si>
  <si>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</si>
  <si>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</si>
  <si>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</si>
  <si>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</si>
  <si>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</si>
  <si>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</si>
  <si>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</si>
  <si>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</si>
  <si>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</si>
  <si>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</si>
  <si>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</si>
  <si>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</si>
  <si>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</si>
  <si>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</si>
  <si>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</si>
  <si>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</si>
  <si>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</si>
  <si>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</si>
  <si>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</si>
  <si>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</si>
  <si>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</si>
  <si>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</si>
  <si>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</si>
  <si>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</si>
  <si>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</si>
  <si>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</si>
  <si>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</si>
  <si>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</si>
  <si>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</si>
  <si>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</si>
  <si>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</si>
  <si>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</si>
  <si>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</si>
  <si>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</si>
  <si>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</si>
  <si>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</si>
  <si>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</si>
  <si>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</si>
  <si>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</si>
  <si>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</si>
  <si>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</si>
  <si>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</si>
  <si>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</si>
  <si>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</si>
  <si>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</si>
  <si>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</si>
  <si>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</si>
  <si>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</si>
  <si>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</si>
  <si>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</si>
  <si>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</si>
  <si>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</si>
  <si>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Unit Budget Neutrality</t>
  </si>
  <si>
    <t>Pre 4/1/2014 COLA Rate</t>
  </si>
  <si>
    <t>Original Total Unit Rate</t>
  </si>
  <si>
    <t>Post 4/1/14 COLA Rate</t>
  </si>
  <si>
    <t>Post COLA Total Unit Rate</t>
  </si>
  <si>
    <t>Post 7/1/14 COLA Rate</t>
  </si>
  <si>
    <t>Post 7/1/15 COLA Rate</t>
  </si>
  <si>
    <t>updates to component values and wages for 7/1/17 legislation</t>
  </si>
  <si>
    <t>Version 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</si>
</sst>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 numFmtId="170" formatCode="_(&quot;$&quot;* #,##0.000_);_(&quot;$&quot;* \(#,##0.000\);_(&quot;$&quot;* &quot;-&quot;??_);_(@_)"/>
  </numFmts>
  <fonts count="48">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69">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9"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9"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9"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9"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4" fillId="39" borderId="30" xfId="0" applyFont="1" applyFill="1" applyBorder="1" applyAlignment="1">
      <alignment vertical="center"/>
    </xf>
    <xf numFmtId="0" fontId="44" fillId="39" borderId="30" xfId="0" applyFont="1" applyFill="1" applyBorder="1" applyAlignment="1">
      <alignment horizontal="left" vertical="center"/>
    </xf>
    <xf numFmtId="0" fontId="45" fillId="36" borderId="30" xfId="0" applyFont="1" applyFill="1" applyBorder="1" applyAlignment="1">
      <alignment vertical="center"/>
    </xf>
    <xf numFmtId="0" fontId="45" fillId="36" borderId="30" xfId="0" applyFont="1" applyFill="1" applyBorder="1" applyAlignment="1" quotePrefix="1">
      <alignment horizontal="left" vertical="center"/>
    </xf>
    <xf numFmtId="0" fontId="45"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9" applyNumberFormat="1" applyFont="1" applyFill="1" applyBorder="1" applyAlignment="1">
      <alignment vertical="top"/>
    </xf>
    <xf numFmtId="165" fontId="0" fillId="0" borderId="0" xfId="59" applyNumberFormat="1" applyFont="1" applyFill="1" applyAlignment="1" applyProtection="1">
      <alignment/>
      <protection/>
    </xf>
    <xf numFmtId="44" fontId="46" fillId="35" borderId="0" xfId="0" applyNumberFormat="1" applyFont="1" applyFill="1" applyAlignment="1">
      <alignment/>
    </xf>
    <xf numFmtId="10" fontId="0" fillId="40" borderId="10" xfId="59" applyNumberFormat="1" applyFont="1" applyFill="1" applyBorder="1" applyAlignment="1">
      <alignment/>
    </xf>
    <xf numFmtId="0" fontId="46" fillId="35" borderId="0" xfId="0" applyFont="1" applyFill="1" applyAlignment="1">
      <alignment/>
    </xf>
    <xf numFmtId="44" fontId="46" fillId="40" borderId="0" xfId="44" applyFont="1" applyFill="1" applyAlignment="1">
      <alignment/>
    </xf>
    <xf numFmtId="0" fontId="47" fillId="33" borderId="0" xfId="0" applyFont="1" applyFill="1" applyAlignment="1">
      <alignment/>
    </xf>
    <xf numFmtId="0" fontId="47" fillId="40" borderId="0" xfId="0" applyFont="1" applyFill="1" applyAlignment="1">
      <alignment/>
    </xf>
    <xf numFmtId="0" fontId="0" fillId="35" borderId="0" xfId="0" applyFont="1" applyFill="1" applyAlignment="1">
      <alignment/>
    </xf>
    <xf numFmtId="44" fontId="0" fillId="40" borderId="10" xfId="0" applyNumberFormat="1" applyFill="1" applyBorder="1" applyAlignment="1">
      <alignment/>
    </xf>
    <xf numFmtId="170" fontId="46" fillId="35" borderId="0" xfId="0" applyNumberFormat="1" applyFont="1" applyFill="1" applyAlignment="1">
      <alignment/>
    </xf>
    <xf numFmtId="165" fontId="47" fillId="40"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46" fillId="35" borderId="0" xfId="44" applyFont="1" applyFill="1" applyAlignment="1">
      <alignment/>
    </xf>
    <xf numFmtId="0" fontId="46" fillId="33" borderId="0" xfId="0" applyFont="1" applyFill="1" applyAlignment="1">
      <alignment/>
    </xf>
    <xf numFmtId="44" fontId="47" fillId="40" borderId="0" xfId="0" applyNumberFormat="1" applyFont="1" applyFill="1" applyAlignment="1">
      <alignment/>
    </xf>
    <xf numFmtId="0" fontId="47" fillId="35" borderId="0" xfId="0" applyFont="1" applyFill="1" applyAlignment="1">
      <alignment/>
    </xf>
    <xf numFmtId="0" fontId="0" fillId="0" borderId="0" xfId="0" applyFont="1" applyAlignment="1">
      <alignment wrapText="1"/>
    </xf>
    <xf numFmtId="0" fontId="0" fillId="0" borderId="0" xfId="0" applyFont="1" applyAlignment="1">
      <alignment/>
    </xf>
    <xf numFmtId="10" fontId="0" fillId="33" borderId="10" xfId="59" applyNumberFormat="1" applyFont="1" applyFill="1" applyBorder="1" applyAlignment="1">
      <alignment horizontal="right" vertical="top"/>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9" applyFont="1" applyFill="1" applyBorder="1" applyAlignment="1">
      <alignment horizontal="left"/>
    </xf>
    <xf numFmtId="9" fontId="0" fillId="33" borderId="21" xfId="59"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9" applyNumberFormat="1" applyFont="1" applyFill="1" applyBorder="1" applyAlignment="1">
      <alignment horizontal="right" vertical="top"/>
    </xf>
    <xf numFmtId="10" fontId="0" fillId="33" borderId="14" xfId="59" applyNumberFormat="1" applyFont="1" applyFill="1" applyBorder="1" applyAlignment="1">
      <alignment horizontal="right" vertical="top"/>
    </xf>
    <xf numFmtId="10" fontId="0" fillId="33" borderId="31" xfId="59"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M7" sqref="M7"/>
    </sheetView>
  </sheetViews>
  <sheetFormatPr defaultColWidth="9.140625" defaultRowHeight="12.75"/>
  <cols>
    <col min="1" max="1" width="30.57421875" style="62" customWidth="1"/>
    <col min="2" max="2" width="13.00390625" style="87" customWidth="1"/>
    <col min="3" max="3" width="13.140625" style="87" customWidth="1"/>
    <col min="4" max="4" width="14.7109375" style="88" customWidth="1"/>
    <col min="5" max="5" width="17.421875" style="88" customWidth="1"/>
    <col min="6" max="6" width="17.00390625" style="87" customWidth="1"/>
    <col min="7" max="7" width="9.140625" style="62" customWidth="1"/>
    <col min="8" max="8" width="9.140625" style="62" hidden="1" customWidth="1"/>
    <col min="9" max="10" width="6.421875" style="62" hidden="1" customWidth="1"/>
    <col min="11" max="11" width="8.140625" style="63" hidden="1" customWidth="1"/>
    <col min="12" max="16384" width="9.140625" style="62" customWidth="1"/>
  </cols>
  <sheetData>
    <row r="1" spans="1:6" ht="15" customHeight="1">
      <c r="A1" s="22" t="s">
        <v>18</v>
      </c>
      <c r="B1" s="22"/>
      <c r="C1" s="62"/>
      <c r="D1" s="62"/>
      <c r="E1" s="62"/>
      <c r="F1" s="62"/>
    </row>
    <row r="2" spans="1:6" ht="15" customHeight="1" thickBot="1">
      <c r="A2" s="93" t="s">
        <v>23</v>
      </c>
      <c r="B2" s="93"/>
      <c r="C2" s="62"/>
      <c r="D2" s="62"/>
      <c r="E2" s="62"/>
      <c r="F2" s="62"/>
    </row>
    <row r="3" spans="2:11" ht="15" customHeight="1">
      <c r="B3" s="62"/>
      <c r="C3" s="62"/>
      <c r="D3" s="62"/>
      <c r="E3" s="62"/>
      <c r="F3" s="62"/>
      <c r="H3" s="64" t="s">
        <v>56</v>
      </c>
      <c r="I3" s="65">
        <f>1/1</f>
        <v>1</v>
      </c>
      <c r="J3" s="65">
        <v>1</v>
      </c>
      <c r="K3" s="66">
        <v>1</v>
      </c>
    </row>
    <row r="4" spans="1:11" ht="15" customHeight="1">
      <c r="A4" s="5" t="s">
        <v>45</v>
      </c>
      <c r="B4" s="62"/>
      <c r="C4" s="62"/>
      <c r="D4" s="62"/>
      <c r="E4" s="62"/>
      <c r="F4" s="62"/>
      <c r="H4" s="67" t="s">
        <v>57</v>
      </c>
      <c r="I4" s="68">
        <f>1/0.548</f>
        <v>1.824817518248175</v>
      </c>
      <c r="J4" s="68">
        <v>2</v>
      </c>
      <c r="K4" s="69">
        <v>0.548</v>
      </c>
    </row>
    <row r="5" spans="1:11" ht="25.5">
      <c r="A5" s="70" t="s">
        <v>0</v>
      </c>
      <c r="B5" s="71" t="s">
        <v>55</v>
      </c>
      <c r="C5" s="56" t="s">
        <v>16</v>
      </c>
      <c r="D5" s="23" t="s">
        <v>87</v>
      </c>
      <c r="E5" s="56" t="s">
        <v>88</v>
      </c>
      <c r="F5" s="57" t="s">
        <v>92</v>
      </c>
      <c r="H5" s="72" t="s">
        <v>58</v>
      </c>
      <c r="I5" s="73">
        <f>1/0.397</f>
        <v>2.5188916876574305</v>
      </c>
      <c r="J5" s="73">
        <v>3</v>
      </c>
      <c r="K5" s="74">
        <v>0.397</v>
      </c>
    </row>
    <row r="6" spans="1:11" ht="15" customHeight="1">
      <c r="A6" s="75" t="s">
        <v>63</v>
      </c>
      <c r="B6" s="76" t="s">
        <v>56</v>
      </c>
      <c r="C6" s="16">
        <v>15.3</v>
      </c>
      <c r="D6" s="52">
        <v>6</v>
      </c>
      <c r="E6" s="16">
        <f>C6*D6</f>
        <v>91.80000000000001</v>
      </c>
      <c r="F6" s="16">
        <f>E6/(VLOOKUP(B6,H3:K12,2,FALSE))</f>
        <v>91.80000000000001</v>
      </c>
      <c r="H6" s="77" t="s">
        <v>59</v>
      </c>
      <c r="I6" s="60">
        <f>1/0.321</f>
        <v>3.115264797507788</v>
      </c>
      <c r="J6" s="60">
        <v>4</v>
      </c>
      <c r="K6" s="78">
        <v>0.321</v>
      </c>
    </row>
    <row r="7" spans="2:11" ht="15" customHeight="1">
      <c r="B7" s="62"/>
      <c r="C7" s="62"/>
      <c r="D7" s="62"/>
      <c r="E7" s="62"/>
      <c r="F7" s="62"/>
      <c r="H7" s="77" t="s">
        <v>76</v>
      </c>
      <c r="I7" s="60">
        <f>1/0.276</f>
        <v>3.623188405797101</v>
      </c>
      <c r="J7" s="60">
        <v>5</v>
      </c>
      <c r="K7" s="78">
        <v>0.276</v>
      </c>
    </row>
    <row r="8" spans="1:11" ht="15" customHeight="1">
      <c r="A8" s="5" t="s">
        <v>82</v>
      </c>
      <c r="B8" s="62"/>
      <c r="C8" s="62"/>
      <c r="D8" s="62"/>
      <c r="E8" s="62"/>
      <c r="F8" s="62"/>
      <c r="H8" s="77" t="s">
        <v>60</v>
      </c>
      <c r="I8" s="60">
        <f>1/0.246</f>
        <v>4.065040650406504</v>
      </c>
      <c r="J8" s="60">
        <v>6</v>
      </c>
      <c r="K8" s="78">
        <v>0.246</v>
      </c>
    </row>
    <row r="9" spans="1:11" ht="25.5">
      <c r="A9" s="50" t="s">
        <v>83</v>
      </c>
      <c r="B9" s="79"/>
      <c r="C9" s="24" t="s">
        <v>16</v>
      </c>
      <c r="D9" s="4" t="s">
        <v>85</v>
      </c>
      <c r="E9" s="4" t="s">
        <v>89</v>
      </c>
      <c r="F9" s="4" t="s">
        <v>93</v>
      </c>
      <c r="H9" s="77" t="s">
        <v>77</v>
      </c>
      <c r="I9" s="60">
        <f>1/0.224</f>
        <v>4.464285714285714</v>
      </c>
      <c r="J9" s="60">
        <v>7</v>
      </c>
      <c r="K9" s="78">
        <v>0.224</v>
      </c>
    </row>
    <row r="10" spans="1:11" ht="15" customHeight="1">
      <c r="A10" s="51" t="s">
        <v>83</v>
      </c>
      <c r="B10" s="80"/>
      <c r="C10" s="15">
        <v>19.15</v>
      </c>
      <c r="D10" s="54">
        <v>0.11</v>
      </c>
      <c r="E10" s="52">
        <f>D6*D10</f>
        <v>0.66</v>
      </c>
      <c r="F10" s="15">
        <f>(C10*E10)/VLOOKUP(B6,H3:K12,2,FALSE)</f>
        <v>12.639</v>
      </c>
      <c r="H10" s="48" t="s">
        <v>61</v>
      </c>
      <c r="I10" s="60">
        <f>1/0.208</f>
        <v>4.8076923076923075</v>
      </c>
      <c r="J10" s="60">
        <v>8</v>
      </c>
      <c r="K10" s="78">
        <v>0.208</v>
      </c>
    </row>
    <row r="11" spans="2:11" ht="12.75">
      <c r="B11" s="62"/>
      <c r="C11" s="62"/>
      <c r="D11" s="62"/>
      <c r="E11" s="62"/>
      <c r="F11" s="62"/>
      <c r="H11" s="48" t="s">
        <v>78</v>
      </c>
      <c r="I11" s="60">
        <f>1/0.196</f>
        <v>5.1020408163265305</v>
      </c>
      <c r="J11" s="60">
        <v>9</v>
      </c>
      <c r="K11" s="78">
        <v>0.196</v>
      </c>
    </row>
    <row r="12" spans="1:11" ht="13.5" thickBot="1">
      <c r="A12" s="8" t="s">
        <v>80</v>
      </c>
      <c r="B12" s="81"/>
      <c r="C12" s="6"/>
      <c r="D12" s="7"/>
      <c r="E12" s="7"/>
      <c r="F12" s="6"/>
      <c r="H12" s="49" t="s">
        <v>62</v>
      </c>
      <c r="I12" s="61">
        <f>1/0.186</f>
        <v>5.376344086021505</v>
      </c>
      <c r="J12" s="61">
        <v>10</v>
      </c>
      <c r="K12" s="82">
        <v>0.186</v>
      </c>
    </row>
    <row r="13" spans="1:6" ht="38.25">
      <c r="A13" s="13" t="s">
        <v>24</v>
      </c>
      <c r="B13" s="3" t="s">
        <v>14</v>
      </c>
      <c r="C13" s="4" t="s">
        <v>15</v>
      </c>
      <c r="D13" s="4" t="s">
        <v>94</v>
      </c>
      <c r="E13" s="13" t="s">
        <v>90</v>
      </c>
      <c r="F13" s="4" t="s">
        <v>91</v>
      </c>
    </row>
    <row r="14" spans="1:6" ht="12.75">
      <c r="A14" s="53" t="s">
        <v>84</v>
      </c>
      <c r="B14" s="9">
        <v>0</v>
      </c>
      <c r="C14" s="127"/>
      <c r="D14" s="129">
        <f>IF(C14&gt;0,D6,0)</f>
        <v>0</v>
      </c>
      <c r="E14" s="132">
        <f>C14*D14</f>
        <v>0</v>
      </c>
      <c r="F14" s="132">
        <f>E14</f>
        <v>0</v>
      </c>
    </row>
    <row r="15" spans="1:6" ht="12.75">
      <c r="A15" s="53" t="s">
        <v>50</v>
      </c>
      <c r="B15" s="83">
        <v>2.5</v>
      </c>
      <c r="C15" s="128"/>
      <c r="D15" s="130"/>
      <c r="E15" s="132"/>
      <c r="F15" s="132"/>
    </row>
    <row r="16" spans="2:6" ht="12.75">
      <c r="B16" s="62"/>
      <c r="C16" s="62"/>
      <c r="D16" s="62"/>
      <c r="E16" s="62"/>
      <c r="F16" s="62"/>
    </row>
    <row r="17" spans="1:6" ht="12.75">
      <c r="A17" s="5" t="s">
        <v>105</v>
      </c>
      <c r="B17" s="5"/>
      <c r="C17" s="5"/>
      <c r="D17" s="5"/>
      <c r="E17" s="62"/>
      <c r="F17" s="62"/>
    </row>
    <row r="18" spans="1:6" ht="12.75">
      <c r="A18" s="90" t="s">
        <v>0</v>
      </c>
      <c r="B18" s="91" t="s">
        <v>16</v>
      </c>
      <c r="C18" s="90" t="s">
        <v>87</v>
      </c>
      <c r="D18" s="90" t="s">
        <v>100</v>
      </c>
      <c r="E18" s="62"/>
      <c r="F18" s="62"/>
    </row>
    <row r="19" spans="1:6" ht="12.75">
      <c r="A19" s="53" t="s">
        <v>101</v>
      </c>
      <c r="B19" s="9">
        <v>20.51</v>
      </c>
      <c r="C19" s="94">
        <v>0</v>
      </c>
      <c r="D19" s="9">
        <f>B19*C19</f>
        <v>0</v>
      </c>
      <c r="E19" s="62"/>
      <c r="F19" s="62"/>
    </row>
    <row r="20" spans="2:6" ht="12.75">
      <c r="B20" s="62"/>
      <c r="C20" s="62"/>
      <c r="D20" s="62"/>
      <c r="E20" s="62"/>
      <c r="F20" s="62"/>
    </row>
    <row r="21" spans="1:6" ht="12.75">
      <c r="A21" s="5" t="s">
        <v>106</v>
      </c>
      <c r="B21" s="5"/>
      <c r="C21" s="5"/>
      <c r="D21" s="5"/>
      <c r="E21" s="62"/>
      <c r="F21" s="62"/>
    </row>
    <row r="22" spans="1:6" ht="12.75">
      <c r="A22" s="90" t="s">
        <v>0</v>
      </c>
      <c r="B22" s="91" t="s">
        <v>16</v>
      </c>
      <c r="C22" s="90" t="s">
        <v>87</v>
      </c>
      <c r="D22" s="90" t="s">
        <v>100</v>
      </c>
      <c r="E22" s="62"/>
      <c r="F22" s="62"/>
    </row>
    <row r="23" spans="1:6" ht="12.75">
      <c r="A23" s="53" t="s">
        <v>99</v>
      </c>
      <c r="B23" s="9">
        <v>31.04</v>
      </c>
      <c r="C23" s="94">
        <v>0</v>
      </c>
      <c r="D23" s="9">
        <f>B23*C23</f>
        <v>0</v>
      </c>
      <c r="E23" s="62"/>
      <c r="F23" s="62"/>
    </row>
    <row r="24" spans="1:6" ht="12.75">
      <c r="A24" s="89"/>
      <c r="B24" s="89"/>
      <c r="C24" s="92"/>
      <c r="D24" s="89"/>
      <c r="E24" s="62"/>
      <c r="F24" s="62"/>
    </row>
    <row r="25" spans="1:6" ht="13.5" customHeight="1">
      <c r="A25" s="5" t="s">
        <v>107</v>
      </c>
      <c r="B25" s="62"/>
      <c r="C25" s="62"/>
      <c r="D25" s="62"/>
      <c r="E25" s="62"/>
      <c r="F25" s="62"/>
    </row>
    <row r="26" spans="1:6" ht="12.75">
      <c r="A26" s="50" t="s">
        <v>70</v>
      </c>
      <c r="B26" s="79"/>
      <c r="C26" s="79"/>
      <c r="D26" s="84" t="s">
        <v>17</v>
      </c>
      <c r="E26" s="62"/>
      <c r="F26" s="62"/>
    </row>
    <row r="27" spans="1:6" ht="12.75">
      <c r="A27" s="133" t="s">
        <v>30</v>
      </c>
      <c r="B27" s="134"/>
      <c r="C27" s="85">
        <v>0.0871</v>
      </c>
      <c r="D27" s="9">
        <f>(F6+F10+F14+D23+D19)*C27</f>
        <v>9.0966369</v>
      </c>
      <c r="E27" s="62"/>
      <c r="F27" s="62"/>
    </row>
    <row r="28" spans="2:6" ht="12.75">
      <c r="B28" s="62"/>
      <c r="C28" s="62"/>
      <c r="D28" s="62"/>
      <c r="E28" s="62"/>
      <c r="F28" s="62"/>
    </row>
    <row r="29" spans="1:6" ht="12.75">
      <c r="A29" s="5" t="s">
        <v>108</v>
      </c>
      <c r="B29" s="62"/>
      <c r="C29" s="62"/>
      <c r="D29" s="62"/>
      <c r="E29" s="62"/>
      <c r="F29" s="62"/>
    </row>
    <row r="30" spans="1:6" ht="12.75">
      <c r="A30" s="135" t="s">
        <v>25</v>
      </c>
      <c r="B30" s="136"/>
      <c r="C30" s="86">
        <f>F6+F10+F14+D23+D19+D27</f>
        <v>113.53563690000001</v>
      </c>
      <c r="D30" s="62"/>
      <c r="E30" s="62"/>
      <c r="F30" s="62"/>
    </row>
    <row r="31" spans="2:6" ht="12.75">
      <c r="B31" s="62"/>
      <c r="C31" s="62"/>
      <c r="D31" s="62"/>
      <c r="E31" s="62"/>
      <c r="F31" s="62"/>
    </row>
    <row r="32" spans="2:6" ht="12.75">
      <c r="B32" s="62"/>
      <c r="C32" s="62"/>
      <c r="D32" s="62"/>
      <c r="E32" s="62"/>
      <c r="F32" s="62"/>
    </row>
    <row r="40" ht="12.75">
      <c r="B40" s="131"/>
    </row>
    <row r="41" ht="19.5" customHeight="1">
      <c r="B41" s="131"/>
    </row>
    <row r="42" ht="12.75">
      <c r="B42" s="131"/>
    </row>
  </sheetData>
  <sheetProtection password="D3F7" sheet="1"/>
  <mergeCells count="6">
    <mergeCell ref="D14:D15"/>
    <mergeCell ref="B40:B42"/>
    <mergeCell ref="E14:E15"/>
    <mergeCell ref="F14:F15"/>
    <mergeCell ref="A27:B27"/>
    <mergeCell ref="A30:B30"/>
  </mergeCells>
  <dataValidations count="26">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per Day" sqref="D6"/>
    <dataValidation allowBlank="1" showInputMessage="1" showErrorMessage="1" prompt="Direct Staff Total Cost per Day formula is Wage times Hours per Day" sqref="E6"/>
    <dataValidation allowBlank="1" showInputMessage="1" showErrorMessage="1" prompt="Direct Staff Pro-rated Cost of Staff per Day formula is Total Cost per Day divided by last digit of Staffing Ratio" sqref="F6"/>
    <dataValidation allowBlank="1" showInputMessage="1" showErrorMessage="1" prompt="Supervision Wage" sqref="C10"/>
    <dataValidation allowBlank="1" showInputMessage="1" showErrorMessage="1" prompt="Supervision Hours per Day formula is equal to Direct Staff Hours per Day times Supervision Percent" sqref="E10"/>
    <dataValidation allowBlank="1" showInputMessage="1" showErrorMessage="1" prompt="Supervision Total Cost per Day formula is (Supervision Wage times Supervision Hours per Day)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Day plus Supervision Total Cost per Day plus Staffing Customization Amount per Day plus RN Amount per Day plus LPN Amount per Day) times Benefit Percentage for Direct Staffing" sqref="D27"/>
    <dataValidation allowBlank="1" showInputMessage="1" showErrorMessage="1" prompt="Total Individual Staffing Amount formula is Direct Staff Pro-rated Cost of Staff per Day plus Supervision Total Cost per Day plus Staffing Customization Amount per Day plus RN Amount per Day plus LPN Amount per Day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Day formula is Add-on Amount times Staffing Customization Total Hours per Day" sqref="E14:E15"/>
    <dataValidation allowBlank="1" showInputMessage="1" showErrorMessage="1" prompt="Staffing Customization Amount perDay formula is equal to Total Cost per Day" sqref="F14:F15"/>
    <dataValidation allowBlank="1" showInputMessage="1" showErrorMessage="1" prompt="Supervision Percent" sqref="D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RN Wage" sqref="B23"/>
    <dataValidation allowBlank="1" showInputMessage="1" showErrorMessage="1" prompt="Enter RN Hours per Day" sqref="C23"/>
    <dataValidation allowBlank="1" showInputMessage="1" showErrorMessage="1" prompt="RN Amount per Day formula is RN Wage times Hours per Day" sqref="D23"/>
    <dataValidation allowBlank="1" showInputMessage="1" showErrorMessage="1" prompt="LPN Wage" sqref="B19"/>
    <dataValidation allowBlank="1" showInputMessage="1" showErrorMessage="1" prompt="Enter LPN Hours per Day" sqref="C19"/>
    <dataValidation allowBlank="1" showInputMessage="1" showErrorMessage="1" prompt="LPN Amount per Day formula is LPN Wage times Hours per Day"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D20" sqref="D20"/>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7" t="s">
        <v>41</v>
      </c>
      <c r="B4" s="138"/>
      <c r="C4" s="139"/>
      <c r="D4" s="29"/>
      <c r="E4" s="29"/>
    </row>
    <row r="5" spans="1:5" ht="27.75" customHeight="1">
      <c r="A5" s="142" t="s">
        <v>103</v>
      </c>
      <c r="B5" s="143"/>
      <c r="C5" s="144"/>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40" t="s">
        <v>64</v>
      </c>
      <c r="B9" s="141"/>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50" t="s">
        <v>43</v>
      </c>
      <c r="B4" s="151"/>
      <c r="C4" s="20" t="s">
        <v>20</v>
      </c>
      <c r="D4" s="29"/>
      <c r="E4" s="29"/>
    </row>
    <row r="5" spans="1:5" ht="12.75">
      <c r="A5" s="145" t="s">
        <v>28</v>
      </c>
      <c r="B5" s="146"/>
      <c r="C5" s="147">
        <v>0.1156</v>
      </c>
      <c r="D5" s="29"/>
      <c r="E5" s="29"/>
    </row>
    <row r="6" spans="1:5" ht="12.75">
      <c r="A6" s="10"/>
      <c r="B6" s="152" t="s">
        <v>29</v>
      </c>
      <c r="C6" s="148"/>
      <c r="D6" s="29"/>
      <c r="E6" s="29"/>
    </row>
    <row r="7" spans="1:5" ht="12.75">
      <c r="A7" s="11"/>
      <c r="B7" s="153"/>
      <c r="C7" s="149"/>
      <c r="D7" s="29"/>
      <c r="E7" s="29"/>
    </row>
    <row r="8" spans="1:5" ht="12.75">
      <c r="A8" s="145" t="s">
        <v>27</v>
      </c>
      <c r="B8" s="146"/>
      <c r="C8" s="147">
        <v>0.1204</v>
      </c>
      <c r="D8" s="29"/>
      <c r="E8" s="29"/>
    </row>
    <row r="9" spans="1:5" ht="12.75">
      <c r="A9" s="10"/>
      <c r="B9" s="2" t="s">
        <v>2</v>
      </c>
      <c r="C9" s="148"/>
      <c r="D9" s="29"/>
      <c r="E9" s="29"/>
    </row>
    <row r="10" spans="1:5" ht="12.75">
      <c r="A10" s="10"/>
      <c r="B10" s="2" t="s">
        <v>69</v>
      </c>
      <c r="C10" s="148"/>
      <c r="D10" s="29"/>
      <c r="E10" s="29"/>
    </row>
    <row r="11" spans="1:5" ht="12.75">
      <c r="A11" s="10"/>
      <c r="B11" s="2" t="s">
        <v>3</v>
      </c>
      <c r="C11" s="148"/>
      <c r="D11" s="29"/>
      <c r="E11" s="29"/>
    </row>
    <row r="12" spans="1:5" ht="12.75">
      <c r="A12" s="10"/>
      <c r="B12" s="2" t="s">
        <v>4</v>
      </c>
      <c r="C12" s="148"/>
      <c r="D12" s="29"/>
      <c r="E12" s="29"/>
    </row>
    <row r="13" spans="1:5" ht="12.75">
      <c r="A13" s="10"/>
      <c r="B13" s="2" t="s">
        <v>6</v>
      </c>
      <c r="C13" s="148"/>
      <c r="D13" s="29"/>
      <c r="E13" s="29"/>
    </row>
    <row r="14" spans="1:5" ht="12.75">
      <c r="A14" s="10"/>
      <c r="B14" s="2" t="s">
        <v>5</v>
      </c>
      <c r="C14" s="148"/>
      <c r="D14" s="29"/>
      <c r="E14" s="29"/>
    </row>
    <row r="15" spans="1:5" ht="12.75">
      <c r="A15" s="10"/>
      <c r="B15" s="2" t="s">
        <v>7</v>
      </c>
      <c r="C15" s="148"/>
      <c r="D15" s="29"/>
      <c r="E15" s="29"/>
    </row>
    <row r="16" spans="1:5" ht="12.75">
      <c r="A16" s="10"/>
      <c r="B16" s="2" t="s">
        <v>8</v>
      </c>
      <c r="C16" s="148"/>
      <c r="D16" s="29"/>
      <c r="E16" s="29"/>
    </row>
    <row r="17" spans="1:5" ht="12.75">
      <c r="A17" s="10"/>
      <c r="B17" s="2" t="s">
        <v>26</v>
      </c>
      <c r="C17" s="148"/>
      <c r="D17" s="29"/>
      <c r="E17" s="29"/>
    </row>
    <row r="18" spans="1:5" ht="11.25" customHeight="1">
      <c r="A18" s="11"/>
      <c r="B18" s="12"/>
      <c r="C18" s="149"/>
      <c r="D18" s="29"/>
      <c r="E18" s="29"/>
    </row>
    <row r="19" spans="1:5" ht="12.75">
      <c r="A19" s="140" t="s">
        <v>81</v>
      </c>
      <c r="B19" s="141"/>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6" sqref="C6"/>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50" t="s">
        <v>19</v>
      </c>
      <c r="B4" s="151"/>
      <c r="C4" s="20" t="s">
        <v>37</v>
      </c>
      <c r="D4" s="29"/>
      <c r="E4" s="29"/>
    </row>
    <row r="5" spans="1:5" ht="126.75" customHeight="1">
      <c r="A5" s="156" t="s">
        <v>104</v>
      </c>
      <c r="B5" s="155"/>
      <c r="C5" s="126">
        <v>0.1037</v>
      </c>
      <c r="D5" s="29"/>
      <c r="E5" s="29"/>
    </row>
    <row r="6" spans="1:5" ht="12.75">
      <c r="A6" s="29"/>
      <c r="B6" s="29"/>
      <c r="C6" s="29"/>
      <c r="D6" s="29"/>
      <c r="E6" s="29"/>
    </row>
    <row r="7" spans="1:5" ht="12.75">
      <c r="A7" s="5" t="s">
        <v>71</v>
      </c>
      <c r="C7" s="29"/>
      <c r="D7" s="29"/>
      <c r="E7" s="29"/>
    </row>
    <row r="8" spans="1:5" ht="12.75">
      <c r="A8" s="150" t="s">
        <v>52</v>
      </c>
      <c r="B8" s="151"/>
      <c r="C8" s="20" t="s">
        <v>51</v>
      </c>
      <c r="D8" s="29"/>
      <c r="E8" s="29"/>
    </row>
    <row r="9" spans="1:5" ht="12.75">
      <c r="A9" s="154" t="s">
        <v>53</v>
      </c>
      <c r="B9" s="155"/>
      <c r="C9" s="126">
        <f>C5</f>
        <v>0.1037</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8" t="s">
        <v>95</v>
      </c>
      <c r="C4" s="58" t="s">
        <v>96</v>
      </c>
      <c r="D4" s="29"/>
      <c r="E4" s="29"/>
      <c r="F4" s="29"/>
    </row>
    <row r="5" spans="1:6" ht="12.75">
      <c r="A5" s="26" t="str">
        <f>'Direct Staffing'!B6</f>
        <v>1:1</v>
      </c>
      <c r="B5" s="27">
        <f>20.02/5</f>
        <v>4.004</v>
      </c>
      <c r="C5" s="28">
        <f>((1+1/(VLOOKUP(A5,'Direct Staffing'!H3:K12,2,FALSE)))*B5)</f>
        <v>8.008</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Day formula is $19.30 divided by five" sqref="B5"/>
    <dataValidation allowBlank="1" showInputMessage="1" showErrorMessage="1" prompt="Daily Facility Cost formula is equal to Ratio Factor times Rate per Person per Day"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E16" sqref="E16"/>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3" t="s">
        <v>73</v>
      </c>
      <c r="B3" s="93"/>
      <c r="C3" s="93"/>
      <c r="D3" s="93"/>
      <c r="E3" s="93"/>
      <c r="F3" s="93"/>
      <c r="G3" s="29"/>
    </row>
    <row r="4" spans="1:7" ht="12.75">
      <c r="A4" s="161" t="s">
        <v>10</v>
      </c>
      <c r="B4" s="161"/>
      <c r="C4" s="161"/>
      <c r="D4" s="161"/>
      <c r="E4" s="21" t="s">
        <v>22</v>
      </c>
      <c r="F4" s="29"/>
      <c r="G4" s="29"/>
    </row>
    <row r="5" spans="1:7" ht="12" customHeight="1">
      <c r="A5" s="162" t="s">
        <v>67</v>
      </c>
      <c r="B5" s="162"/>
      <c r="C5" s="162"/>
      <c r="D5" s="162"/>
      <c r="E5" s="43">
        <v>0.1325</v>
      </c>
      <c r="F5" s="29"/>
      <c r="G5" s="29"/>
    </row>
    <row r="6" spans="1:7" ht="12.75">
      <c r="A6" s="162" t="s">
        <v>68</v>
      </c>
      <c r="B6" s="162"/>
      <c r="C6" s="162"/>
      <c r="D6" s="162"/>
      <c r="E6" s="43">
        <v>0.018</v>
      </c>
      <c r="F6" s="29"/>
      <c r="G6" s="29"/>
    </row>
    <row r="7" spans="1:7" ht="12.75">
      <c r="A7" s="157" t="s">
        <v>74</v>
      </c>
      <c r="B7" s="158"/>
      <c r="C7" s="158"/>
      <c r="D7" s="159"/>
      <c r="E7" s="43">
        <v>0.039</v>
      </c>
      <c r="F7" s="29"/>
      <c r="G7" s="29"/>
    </row>
    <row r="8" spans="1:7" ht="12.75">
      <c r="A8" s="160" t="s">
        <v>75</v>
      </c>
      <c r="B8" s="160"/>
      <c r="C8" s="160"/>
      <c r="D8" s="160"/>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I110" sqref="I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124</v>
      </c>
      <c r="B3" s="62"/>
      <c r="C3" s="62"/>
      <c r="D3" s="62"/>
    </row>
    <row r="4" spans="1:4" ht="12.75">
      <c r="A4" s="50" t="s">
        <v>125</v>
      </c>
      <c r="B4" s="163" t="s">
        <v>126</v>
      </c>
      <c r="C4" s="164"/>
      <c r="D4" s="165"/>
    </row>
    <row r="5" spans="1:4" ht="12.75">
      <c r="A5" s="50" t="s">
        <v>127</v>
      </c>
      <c r="B5" s="166" t="str">
        <f>INDEX($C$10:$C$97,MATCH(B4:D4,B10:B97,0))</f>
        <v>Unspecified Region</v>
      </c>
      <c r="C5" s="167"/>
      <c r="D5" s="168"/>
    </row>
    <row r="7" spans="1:2" ht="12.75" hidden="1">
      <c r="A7" t="s">
        <v>128</v>
      </c>
      <c r="B7" t="str">
        <f>INDEX($D$10:$D$97,MATCH(B4:D4,B10:B97,0))</f>
        <v>-</v>
      </c>
    </row>
    <row r="8" ht="12.75" hidden="1"/>
    <row r="9" spans="2:6" ht="15" hidden="1">
      <c r="B9" s="98" t="s">
        <v>129</v>
      </c>
      <c r="C9" s="98" t="s">
        <v>130</v>
      </c>
      <c r="D9" s="99" t="s">
        <v>128</v>
      </c>
      <c r="F9"/>
    </row>
    <row r="10" spans="2:6" ht="15" hidden="1">
      <c r="B10" s="100" t="s">
        <v>126</v>
      </c>
      <c r="C10" s="100" t="s">
        <v>131</v>
      </c>
      <c r="D10" s="101" t="s">
        <v>132</v>
      </c>
      <c r="F10"/>
    </row>
    <row r="11" spans="2:6" ht="15" hidden="1">
      <c r="B11" s="102" t="s">
        <v>133</v>
      </c>
      <c r="C11" s="102" t="s">
        <v>134</v>
      </c>
      <c r="D11" s="103">
        <v>1.001</v>
      </c>
      <c r="F11"/>
    </row>
    <row r="12" spans="2:6" ht="15" hidden="1">
      <c r="B12" s="102" t="s">
        <v>135</v>
      </c>
      <c r="C12" s="102" t="s">
        <v>136</v>
      </c>
      <c r="D12" s="103">
        <v>1.023</v>
      </c>
      <c r="F12"/>
    </row>
    <row r="13" spans="2:6" ht="15" hidden="1">
      <c r="B13" s="102" t="s">
        <v>137</v>
      </c>
      <c r="C13" s="102" t="s">
        <v>138</v>
      </c>
      <c r="D13" s="103">
        <v>0.947</v>
      </c>
      <c r="F13"/>
    </row>
    <row r="14" spans="2:6" ht="15" hidden="1">
      <c r="B14" s="102" t="s">
        <v>139</v>
      </c>
      <c r="C14" s="102" t="s">
        <v>138</v>
      </c>
      <c r="D14" s="103">
        <v>0.947</v>
      </c>
      <c r="F14"/>
    </row>
    <row r="15" spans="2:6" ht="15" hidden="1">
      <c r="B15" s="102" t="s">
        <v>140</v>
      </c>
      <c r="C15" s="102" t="s">
        <v>141</v>
      </c>
      <c r="D15" s="103">
        <v>0.961</v>
      </c>
      <c r="F15"/>
    </row>
    <row r="16" spans="2:6" ht="15" hidden="1">
      <c r="B16" s="102" t="s">
        <v>142</v>
      </c>
      <c r="C16" s="104" t="s">
        <v>143</v>
      </c>
      <c r="D16" s="103">
        <v>0.963</v>
      </c>
      <c r="F16"/>
    </row>
    <row r="17" spans="2:6" ht="15" hidden="1">
      <c r="B17" s="102" t="s">
        <v>144</v>
      </c>
      <c r="C17" s="102" t="s">
        <v>145</v>
      </c>
      <c r="D17" s="103">
        <v>1.063</v>
      </c>
      <c r="F17"/>
    </row>
    <row r="18" spans="2:6" ht="15" hidden="1">
      <c r="B18" s="102" t="s">
        <v>146</v>
      </c>
      <c r="C18" s="104" t="s">
        <v>147</v>
      </c>
      <c r="D18" s="103">
        <v>0.959</v>
      </c>
      <c r="F18"/>
    </row>
    <row r="19" spans="2:6" ht="15" hidden="1">
      <c r="B19" s="102" t="s">
        <v>148</v>
      </c>
      <c r="C19" s="104" t="s">
        <v>149</v>
      </c>
      <c r="D19" s="103">
        <v>0.966</v>
      </c>
      <c r="F19"/>
    </row>
    <row r="20" spans="2:6" ht="15" hidden="1">
      <c r="B20" s="102" t="s">
        <v>150</v>
      </c>
      <c r="C20" s="102" t="s">
        <v>136</v>
      </c>
      <c r="D20" s="103">
        <v>1.023</v>
      </c>
      <c r="F20"/>
    </row>
    <row r="21" spans="2:6" ht="15" hidden="1">
      <c r="B21" s="102" t="s">
        <v>151</v>
      </c>
      <c r="C21" s="102" t="s">
        <v>138</v>
      </c>
      <c r="D21" s="103">
        <v>0.947</v>
      </c>
      <c r="F21"/>
    </row>
    <row r="22" spans="2:6" ht="15" hidden="1">
      <c r="B22" s="102" t="s">
        <v>152</v>
      </c>
      <c r="C22" s="104" t="s">
        <v>143</v>
      </c>
      <c r="D22" s="103">
        <v>0.963</v>
      </c>
      <c r="F22"/>
    </row>
    <row r="23" spans="2:6" ht="15" hidden="1">
      <c r="B23" s="102" t="s">
        <v>153</v>
      </c>
      <c r="C23" s="104" t="s">
        <v>136</v>
      </c>
      <c r="D23" s="103">
        <v>1.023</v>
      </c>
      <c r="F23"/>
    </row>
    <row r="24" spans="2:6" ht="15" hidden="1">
      <c r="B24" s="102" t="s">
        <v>154</v>
      </c>
      <c r="C24" s="104" t="s">
        <v>155</v>
      </c>
      <c r="D24" s="103">
        <v>1.001</v>
      </c>
      <c r="F24"/>
    </row>
    <row r="25" spans="2:6" ht="15" hidden="1">
      <c r="B25" s="102" t="s">
        <v>156</v>
      </c>
      <c r="C25" s="102" t="s">
        <v>138</v>
      </c>
      <c r="D25" s="103">
        <v>0.947</v>
      </c>
      <c r="F25"/>
    </row>
    <row r="26" spans="2:6" ht="15" hidden="1">
      <c r="B26" s="102" t="s">
        <v>157</v>
      </c>
      <c r="C26" s="104" t="s">
        <v>134</v>
      </c>
      <c r="D26" s="103">
        <v>1.001</v>
      </c>
      <c r="F26"/>
    </row>
    <row r="27" spans="2:6" ht="15" hidden="1">
      <c r="B27" s="102" t="s">
        <v>158</v>
      </c>
      <c r="C27" s="104" t="s">
        <v>143</v>
      </c>
      <c r="D27" s="103">
        <v>0.963</v>
      </c>
      <c r="F27"/>
    </row>
    <row r="28" spans="2:6" ht="15" hidden="1">
      <c r="B28" s="102" t="s">
        <v>159</v>
      </c>
      <c r="C28" s="102" t="s">
        <v>138</v>
      </c>
      <c r="D28" s="103">
        <v>0.947</v>
      </c>
      <c r="F28"/>
    </row>
    <row r="29" spans="2:6" ht="15" hidden="1">
      <c r="B29" s="102" t="s">
        <v>160</v>
      </c>
      <c r="C29" s="102" t="s">
        <v>136</v>
      </c>
      <c r="D29" s="103">
        <v>1.023</v>
      </c>
      <c r="F29"/>
    </row>
    <row r="30" spans="2:6" ht="15" hidden="1">
      <c r="B30" s="102" t="s">
        <v>161</v>
      </c>
      <c r="C30" s="104" t="s">
        <v>162</v>
      </c>
      <c r="D30" s="103">
        <v>0.988</v>
      </c>
      <c r="F30"/>
    </row>
    <row r="31" spans="2:6" ht="15" hidden="1">
      <c r="B31" s="102" t="s">
        <v>163</v>
      </c>
      <c r="C31" s="102" t="s">
        <v>138</v>
      </c>
      <c r="D31" s="103">
        <v>0.947</v>
      </c>
      <c r="F31"/>
    </row>
    <row r="32" spans="2:6" ht="15" hidden="1">
      <c r="B32" s="102" t="s">
        <v>164</v>
      </c>
      <c r="C32" s="104" t="s">
        <v>147</v>
      </c>
      <c r="D32" s="103">
        <v>0.959</v>
      </c>
      <c r="F32"/>
    </row>
    <row r="33" spans="2:6" ht="15" hidden="1">
      <c r="B33" s="102" t="s">
        <v>165</v>
      </c>
      <c r="C33" s="104" t="s">
        <v>147</v>
      </c>
      <c r="D33" s="103">
        <v>0.959</v>
      </c>
      <c r="F33"/>
    </row>
    <row r="34" spans="2:6" ht="15" hidden="1">
      <c r="B34" s="102" t="s">
        <v>166</v>
      </c>
      <c r="C34" s="104" t="s">
        <v>147</v>
      </c>
      <c r="D34" s="103">
        <v>0.959</v>
      </c>
      <c r="F34"/>
    </row>
    <row r="35" spans="2:6" ht="15" hidden="1">
      <c r="B35" s="102" t="s">
        <v>167</v>
      </c>
      <c r="C35" s="104" t="s">
        <v>147</v>
      </c>
      <c r="D35" s="103">
        <v>0.959</v>
      </c>
      <c r="F35"/>
    </row>
    <row r="36" spans="2:6" ht="15" hidden="1">
      <c r="B36" s="102" t="s">
        <v>168</v>
      </c>
      <c r="C36" s="102" t="s">
        <v>138</v>
      </c>
      <c r="D36" s="103">
        <v>0.947</v>
      </c>
      <c r="F36"/>
    </row>
    <row r="37" spans="2:6" ht="15" hidden="1">
      <c r="B37" s="102" t="s">
        <v>169</v>
      </c>
      <c r="C37" s="102" t="s">
        <v>136</v>
      </c>
      <c r="D37" s="103">
        <v>1.023</v>
      </c>
      <c r="F37"/>
    </row>
    <row r="38" spans="2:6" ht="15" hidden="1">
      <c r="B38" s="102" t="s">
        <v>170</v>
      </c>
      <c r="C38" s="104" t="s">
        <v>171</v>
      </c>
      <c r="D38" s="103">
        <v>1.049</v>
      </c>
      <c r="F38"/>
    </row>
    <row r="39" spans="2:6" ht="15" hidden="1">
      <c r="B39" s="102" t="s">
        <v>172</v>
      </c>
      <c r="C39" s="102" t="s">
        <v>138</v>
      </c>
      <c r="D39" s="103">
        <v>0.947</v>
      </c>
      <c r="F39"/>
    </row>
    <row r="40" spans="2:6" ht="15" hidden="1">
      <c r="B40" s="102" t="s">
        <v>173</v>
      </c>
      <c r="C40" s="104" t="s">
        <v>136</v>
      </c>
      <c r="D40" s="103">
        <v>1.023</v>
      </c>
      <c r="F40"/>
    </row>
    <row r="41" spans="2:6" ht="15" hidden="1">
      <c r="B41" s="102" t="s">
        <v>174</v>
      </c>
      <c r="C41" s="104" t="s">
        <v>134</v>
      </c>
      <c r="D41" s="103">
        <v>1.001</v>
      </c>
      <c r="F41"/>
    </row>
    <row r="42" spans="2:6" ht="15" hidden="1">
      <c r="B42" s="102" t="s">
        <v>175</v>
      </c>
      <c r="C42" s="104" t="s">
        <v>143</v>
      </c>
      <c r="D42" s="103">
        <v>0.963</v>
      </c>
      <c r="F42"/>
    </row>
    <row r="43" spans="2:6" ht="15" hidden="1">
      <c r="B43" s="102" t="s">
        <v>176</v>
      </c>
      <c r="C43" s="104" t="s">
        <v>134</v>
      </c>
      <c r="D43" s="103">
        <v>1.001</v>
      </c>
      <c r="F43"/>
    </row>
    <row r="44" spans="2:6" ht="15" hidden="1">
      <c r="B44" s="102" t="s">
        <v>177</v>
      </c>
      <c r="C44" s="104" t="s">
        <v>143</v>
      </c>
      <c r="D44" s="103">
        <v>0.963</v>
      </c>
      <c r="F44"/>
    </row>
    <row r="45" spans="2:6" ht="15" hidden="1">
      <c r="B45" s="102" t="s">
        <v>178</v>
      </c>
      <c r="C45" s="102" t="s">
        <v>138</v>
      </c>
      <c r="D45" s="103">
        <v>0.947</v>
      </c>
      <c r="F45"/>
    </row>
    <row r="46" spans="2:6" ht="15" hidden="1">
      <c r="B46" s="102" t="s">
        <v>179</v>
      </c>
      <c r="C46" s="104" t="s">
        <v>134</v>
      </c>
      <c r="D46" s="103">
        <v>1.001</v>
      </c>
      <c r="F46"/>
    </row>
    <row r="47" spans="2:6" ht="15" hidden="1">
      <c r="B47" s="102" t="s">
        <v>180</v>
      </c>
      <c r="C47" s="104" t="s">
        <v>143</v>
      </c>
      <c r="D47" s="103">
        <v>0.963</v>
      </c>
      <c r="F47"/>
    </row>
    <row r="48" spans="2:6" ht="15" hidden="1">
      <c r="B48" s="102" t="s">
        <v>181</v>
      </c>
      <c r="C48" s="104" t="s">
        <v>134</v>
      </c>
      <c r="D48" s="103">
        <v>1.001</v>
      </c>
      <c r="F48"/>
    </row>
    <row r="49" spans="2:6" ht="15" hidden="1">
      <c r="B49" s="102" t="s">
        <v>182</v>
      </c>
      <c r="C49" s="102" t="s">
        <v>138</v>
      </c>
      <c r="D49" s="103">
        <v>0.947</v>
      </c>
      <c r="F49"/>
    </row>
    <row r="50" spans="2:6" ht="15" hidden="1">
      <c r="B50" s="102" t="s">
        <v>183</v>
      </c>
      <c r="C50" s="104" t="s">
        <v>147</v>
      </c>
      <c r="D50" s="103">
        <v>0.959</v>
      </c>
      <c r="F50"/>
    </row>
    <row r="51" spans="2:6" ht="15" hidden="1">
      <c r="B51" s="102" t="s">
        <v>184</v>
      </c>
      <c r="C51" s="104" t="s">
        <v>143</v>
      </c>
      <c r="D51" s="103">
        <v>0.963</v>
      </c>
      <c r="F51"/>
    </row>
    <row r="52" spans="2:6" ht="15" hidden="1">
      <c r="B52" s="102" t="s">
        <v>185</v>
      </c>
      <c r="C52" s="104" t="s">
        <v>143</v>
      </c>
      <c r="D52" s="103">
        <v>0.963</v>
      </c>
      <c r="F52"/>
    </row>
    <row r="53" spans="2:6" ht="15" hidden="1">
      <c r="B53" s="102" t="s">
        <v>189</v>
      </c>
      <c r="C53" s="104" t="s">
        <v>143</v>
      </c>
      <c r="D53" s="103">
        <v>0.963</v>
      </c>
      <c r="F53"/>
    </row>
    <row r="54" spans="2:6" ht="15" hidden="1">
      <c r="B54" s="102" t="s">
        <v>186</v>
      </c>
      <c r="C54" s="102" t="s">
        <v>138</v>
      </c>
      <c r="D54" s="103">
        <v>0.947</v>
      </c>
      <c r="F54"/>
    </row>
    <row r="55" spans="2:6" ht="15" hidden="1">
      <c r="B55" s="102" t="s">
        <v>187</v>
      </c>
      <c r="C55" s="102" t="s">
        <v>138</v>
      </c>
      <c r="D55" s="103">
        <v>0.947</v>
      </c>
      <c r="F55"/>
    </row>
    <row r="56" spans="2:6" ht="15" hidden="1">
      <c r="B56" s="102" t="s">
        <v>188</v>
      </c>
      <c r="C56" s="104" t="s">
        <v>147</v>
      </c>
      <c r="D56" s="103">
        <v>0.959</v>
      </c>
      <c r="F56"/>
    </row>
    <row r="57" spans="2:6" ht="15" hidden="1">
      <c r="B57" s="102" t="s">
        <v>190</v>
      </c>
      <c r="C57" s="104" t="s">
        <v>143</v>
      </c>
      <c r="D57" s="103">
        <v>0.963</v>
      </c>
      <c r="F57"/>
    </row>
    <row r="58" spans="2:6" ht="15" hidden="1">
      <c r="B58" s="102" t="s">
        <v>191</v>
      </c>
      <c r="C58" s="104" t="s">
        <v>134</v>
      </c>
      <c r="D58" s="103">
        <v>1.001</v>
      </c>
      <c r="F58"/>
    </row>
    <row r="59" spans="2:6" ht="15" hidden="1">
      <c r="B59" s="102" t="s">
        <v>192</v>
      </c>
      <c r="C59" s="102" t="s">
        <v>138</v>
      </c>
      <c r="D59" s="103">
        <v>0.947</v>
      </c>
      <c r="F59"/>
    </row>
    <row r="60" spans="2:6" ht="15" hidden="1">
      <c r="B60" s="102" t="s">
        <v>193</v>
      </c>
      <c r="C60" s="104" t="s">
        <v>147</v>
      </c>
      <c r="D60" s="103">
        <v>0.959</v>
      </c>
      <c r="F60"/>
    </row>
    <row r="61" spans="2:6" ht="15" hidden="1">
      <c r="B61" s="102" t="s">
        <v>194</v>
      </c>
      <c r="C61" s="104" t="s">
        <v>143</v>
      </c>
      <c r="D61" s="103">
        <v>0.963</v>
      </c>
      <c r="F61"/>
    </row>
    <row r="62" spans="2:6" ht="15" hidden="1">
      <c r="B62" s="102" t="s">
        <v>195</v>
      </c>
      <c r="C62" s="104" t="s">
        <v>145</v>
      </c>
      <c r="D62" s="103">
        <v>1.063</v>
      </c>
      <c r="F62"/>
    </row>
    <row r="63" spans="2:6" ht="15" hidden="1">
      <c r="B63" s="102" t="s">
        <v>196</v>
      </c>
      <c r="C63" s="104" t="s">
        <v>143</v>
      </c>
      <c r="D63" s="103">
        <v>0.963</v>
      </c>
      <c r="F63"/>
    </row>
    <row r="64" spans="2:6" ht="15" hidden="1">
      <c r="B64" s="102" t="s">
        <v>197</v>
      </c>
      <c r="C64" s="102" t="s">
        <v>138</v>
      </c>
      <c r="D64" s="103">
        <v>0.947</v>
      </c>
      <c r="F64"/>
    </row>
    <row r="65" spans="2:6" ht="15" hidden="1">
      <c r="B65" s="102" t="s">
        <v>198</v>
      </c>
      <c r="C65" s="104" t="s">
        <v>162</v>
      </c>
      <c r="D65" s="103">
        <v>0.988</v>
      </c>
      <c r="F65"/>
    </row>
    <row r="66" spans="2:6" ht="15" hidden="1">
      <c r="B66" s="102" t="s">
        <v>199</v>
      </c>
      <c r="C66" s="102" t="s">
        <v>138</v>
      </c>
      <c r="D66" s="103">
        <v>0.947</v>
      </c>
      <c r="F66"/>
    </row>
    <row r="67" spans="2:6" ht="15" hidden="1">
      <c r="B67" s="102" t="s">
        <v>200</v>
      </c>
      <c r="C67" s="102" t="s">
        <v>138</v>
      </c>
      <c r="D67" s="103">
        <v>0.947</v>
      </c>
      <c r="F67"/>
    </row>
    <row r="68" spans="2:6" ht="15" hidden="1">
      <c r="B68" s="102" t="s">
        <v>201</v>
      </c>
      <c r="C68" s="104" t="s">
        <v>134</v>
      </c>
      <c r="D68" s="103">
        <v>1.001</v>
      </c>
      <c r="F68"/>
    </row>
    <row r="69" spans="2:6" ht="15" hidden="1">
      <c r="B69" s="102" t="s">
        <v>202</v>
      </c>
      <c r="C69" s="104" t="s">
        <v>143</v>
      </c>
      <c r="D69" s="103">
        <v>0.963</v>
      </c>
      <c r="F69"/>
    </row>
    <row r="70" spans="2:6" ht="15" hidden="1">
      <c r="B70" s="102" t="s">
        <v>203</v>
      </c>
      <c r="C70" s="104" t="s">
        <v>204</v>
      </c>
      <c r="D70" s="103">
        <v>0.963</v>
      </c>
      <c r="F70"/>
    </row>
    <row r="71" spans="2:6" ht="15" hidden="1">
      <c r="B71" s="102" t="s">
        <v>205</v>
      </c>
      <c r="C71" s="102" t="s">
        <v>138</v>
      </c>
      <c r="D71" s="103">
        <v>0.947</v>
      </c>
      <c r="F71"/>
    </row>
    <row r="72" spans="2:6" ht="15" hidden="1">
      <c r="B72" s="102" t="s">
        <v>206</v>
      </c>
      <c r="C72" s="102" t="s">
        <v>136</v>
      </c>
      <c r="D72" s="103">
        <v>1.023</v>
      </c>
      <c r="F72"/>
    </row>
    <row r="73" spans="2:6" ht="15" hidden="1">
      <c r="B73" s="102" t="s">
        <v>207</v>
      </c>
      <c r="C73" s="102" t="s">
        <v>138</v>
      </c>
      <c r="D73" s="103">
        <v>0.947</v>
      </c>
      <c r="F73"/>
    </row>
    <row r="74" spans="2:6" ht="15" hidden="1">
      <c r="B74" s="102" t="s">
        <v>208</v>
      </c>
      <c r="C74" s="104" t="s">
        <v>143</v>
      </c>
      <c r="D74" s="103">
        <v>0.963</v>
      </c>
      <c r="F74"/>
    </row>
    <row r="75" spans="2:6" ht="15" hidden="1">
      <c r="B75" s="102" t="s">
        <v>209</v>
      </c>
      <c r="C75" s="104" t="s">
        <v>143</v>
      </c>
      <c r="D75" s="103">
        <v>0.963</v>
      </c>
      <c r="F75"/>
    </row>
    <row r="76" spans="2:6" ht="15" hidden="1">
      <c r="B76" s="102" t="s">
        <v>210</v>
      </c>
      <c r="C76" s="104" t="s">
        <v>147</v>
      </c>
      <c r="D76" s="103">
        <v>0.959</v>
      </c>
      <c r="F76"/>
    </row>
    <row r="77" spans="2:6" ht="15" hidden="1">
      <c r="B77" s="102" t="s">
        <v>211</v>
      </c>
      <c r="C77" s="104" t="s">
        <v>143</v>
      </c>
      <c r="D77" s="103">
        <v>0.963</v>
      </c>
      <c r="F77"/>
    </row>
    <row r="78" spans="2:6" ht="15" hidden="1">
      <c r="B78" s="102" t="s">
        <v>212</v>
      </c>
      <c r="C78" s="102" t="s">
        <v>138</v>
      </c>
      <c r="D78" s="103">
        <v>0.947</v>
      </c>
      <c r="F78"/>
    </row>
    <row r="79" spans="2:6" ht="15" hidden="1">
      <c r="B79" s="102" t="s">
        <v>216</v>
      </c>
      <c r="C79" s="104" t="s">
        <v>149</v>
      </c>
      <c r="D79" s="103">
        <v>0.966</v>
      </c>
      <c r="F79"/>
    </row>
    <row r="80" spans="2:6" ht="15" hidden="1">
      <c r="B80" s="102" t="s">
        <v>213</v>
      </c>
      <c r="C80" s="102" t="s">
        <v>136</v>
      </c>
      <c r="D80" s="103">
        <v>1.023</v>
      </c>
      <c r="F80"/>
    </row>
    <row r="81" spans="2:6" ht="15" hidden="1">
      <c r="B81" s="102" t="s">
        <v>214</v>
      </c>
      <c r="C81" s="104" t="s">
        <v>136</v>
      </c>
      <c r="D81" s="103">
        <v>1.023</v>
      </c>
      <c r="F81"/>
    </row>
    <row r="82" spans="2:6" ht="15" hidden="1">
      <c r="B82" s="102" t="s">
        <v>215</v>
      </c>
      <c r="C82" s="104" t="s">
        <v>147</v>
      </c>
      <c r="D82" s="103">
        <v>0.959</v>
      </c>
      <c r="F82"/>
    </row>
    <row r="83" spans="2:6" ht="15" hidden="1">
      <c r="B83" s="102" t="s">
        <v>217</v>
      </c>
      <c r="C83" s="104" t="s">
        <v>141</v>
      </c>
      <c r="D83" s="103">
        <v>0.961</v>
      </c>
      <c r="F83"/>
    </row>
    <row r="84" spans="2:6" ht="15" hidden="1">
      <c r="B84" s="102" t="s">
        <v>218</v>
      </c>
      <c r="C84" s="104" t="s">
        <v>147</v>
      </c>
      <c r="D84" s="103">
        <v>0.959</v>
      </c>
      <c r="F84"/>
    </row>
    <row r="85" spans="2:6" ht="15" hidden="1">
      <c r="B85" s="102" t="s">
        <v>219</v>
      </c>
      <c r="C85" s="102" t="s">
        <v>138</v>
      </c>
      <c r="D85" s="103">
        <v>0.947</v>
      </c>
      <c r="F85"/>
    </row>
    <row r="86" spans="2:6" ht="15" hidden="1">
      <c r="B86" s="102" t="s">
        <v>220</v>
      </c>
      <c r="C86" s="104" t="s">
        <v>143</v>
      </c>
      <c r="D86" s="103">
        <v>0.963</v>
      </c>
      <c r="F86"/>
    </row>
    <row r="87" spans="2:6" ht="15" hidden="1">
      <c r="B87" s="102" t="s">
        <v>221</v>
      </c>
      <c r="C87" s="102" t="s">
        <v>138</v>
      </c>
      <c r="D87" s="103">
        <v>0.947</v>
      </c>
      <c r="F87"/>
    </row>
    <row r="88" spans="2:6" ht="15" hidden="1">
      <c r="B88" s="102" t="s">
        <v>222</v>
      </c>
      <c r="C88" s="102" t="s">
        <v>138</v>
      </c>
      <c r="D88" s="103">
        <v>0.947</v>
      </c>
      <c r="F88"/>
    </row>
    <row r="89" spans="2:6" ht="15" hidden="1">
      <c r="B89" s="102" t="s">
        <v>223</v>
      </c>
      <c r="C89" s="104" t="s">
        <v>162</v>
      </c>
      <c r="D89" s="103">
        <v>0.988</v>
      </c>
      <c r="F89"/>
    </row>
    <row r="90" spans="2:6" ht="15" hidden="1">
      <c r="B90" s="102" t="s">
        <v>224</v>
      </c>
      <c r="C90" s="102" t="s">
        <v>138</v>
      </c>
      <c r="D90" s="103">
        <v>0.947</v>
      </c>
      <c r="F90"/>
    </row>
    <row r="91" spans="2:6" ht="15" hidden="1">
      <c r="B91" s="102" t="s">
        <v>225</v>
      </c>
      <c r="C91" s="104" t="s">
        <v>147</v>
      </c>
      <c r="D91" s="103">
        <v>0.959</v>
      </c>
      <c r="F91"/>
    </row>
    <row r="92" spans="2:6" ht="15" hidden="1">
      <c r="B92" s="102" t="s">
        <v>226</v>
      </c>
      <c r="C92" s="102" t="s">
        <v>136</v>
      </c>
      <c r="D92" s="103">
        <v>1.023</v>
      </c>
      <c r="F92"/>
    </row>
    <row r="93" spans="2:6" ht="15" hidden="1">
      <c r="B93" s="102" t="s">
        <v>227</v>
      </c>
      <c r="C93" s="104" t="s">
        <v>147</v>
      </c>
      <c r="D93" s="103">
        <v>0.959</v>
      </c>
      <c r="F93"/>
    </row>
    <row r="94" spans="2:6" ht="15" hidden="1">
      <c r="B94" s="102" t="s">
        <v>228</v>
      </c>
      <c r="C94" s="102" t="s">
        <v>138</v>
      </c>
      <c r="D94" s="103">
        <v>0.947</v>
      </c>
      <c r="F94"/>
    </row>
    <row r="95" spans="2:6" ht="15" hidden="1">
      <c r="B95" s="102" t="s">
        <v>229</v>
      </c>
      <c r="C95" s="104" t="s">
        <v>147</v>
      </c>
      <c r="D95" s="103">
        <v>0.959</v>
      </c>
      <c r="F95"/>
    </row>
    <row r="96" spans="2:6" ht="15" hidden="1">
      <c r="B96" s="102" t="s">
        <v>230</v>
      </c>
      <c r="C96" s="104" t="s">
        <v>136</v>
      </c>
      <c r="D96" s="103">
        <v>1.023</v>
      </c>
      <c r="F96"/>
    </row>
    <row r="97" spans="2:6" ht="15" hidden="1">
      <c r="B97" s="102" t="s">
        <v>231</v>
      </c>
      <c r="C97" s="104" t="s">
        <v>143</v>
      </c>
      <c r="D97" s="103">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C4" sqref="C4"/>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31" customWidth="1"/>
    <col min="6" max="6" width="11.28125" style="31" bestFit="1" customWidth="1"/>
    <col min="7" max="16384" width="9.140625" style="31" customWidth="1"/>
  </cols>
  <sheetData>
    <row r="1" spans="1:6" ht="15">
      <c r="A1" s="30" t="s">
        <v>102</v>
      </c>
      <c r="C1" s="29"/>
      <c r="D1" s="29"/>
      <c r="E1" s="29"/>
      <c r="F1" s="29"/>
    </row>
    <row r="2" spans="1:6" ht="12.75">
      <c r="A2" s="32"/>
      <c r="B2" s="32"/>
      <c r="C2" s="32"/>
      <c r="D2" s="32"/>
      <c r="E2" s="29"/>
      <c r="F2" s="29"/>
    </row>
    <row r="3" spans="1:6" ht="12.75">
      <c r="A3" s="33" t="s">
        <v>11</v>
      </c>
      <c r="B3" s="29"/>
      <c r="C3" s="29"/>
      <c r="D3" s="5" t="s">
        <v>79</v>
      </c>
      <c r="E3" s="29"/>
      <c r="F3" s="29"/>
    </row>
    <row r="4" spans="1:6" ht="12.75">
      <c r="A4" s="59" t="s">
        <v>97</v>
      </c>
      <c r="B4" s="35">
        <f>'Direct Staffing'!C30</f>
        <v>113.53563690000001</v>
      </c>
      <c r="D4" s="36">
        <f>B4</f>
        <v>113.53563690000001</v>
      </c>
      <c r="E4" s="29"/>
      <c r="F4" s="29"/>
    </row>
    <row r="5" spans="1:6" ht="12.75">
      <c r="A5" s="32"/>
      <c r="B5" s="32"/>
      <c r="C5" s="32"/>
      <c r="D5" s="32"/>
      <c r="E5" s="29"/>
      <c r="F5" s="29"/>
    </row>
    <row r="6" spans="1:6" ht="12.75">
      <c r="A6" s="33" t="s">
        <v>32</v>
      </c>
      <c r="B6" s="29"/>
      <c r="C6" s="29"/>
      <c r="D6" s="29"/>
      <c r="E6" s="29"/>
      <c r="F6" s="29"/>
    </row>
    <row r="7" spans="1:6" ht="12.75">
      <c r="A7" s="34" t="s">
        <v>65</v>
      </c>
      <c r="B7" s="44">
        <f>'Program Plan Support'!C9</f>
        <v>0.056</v>
      </c>
      <c r="D7" s="36">
        <f>B7*D4</f>
        <v>6.357995666400001</v>
      </c>
      <c r="E7" s="29"/>
      <c r="F7" s="29"/>
    </row>
    <row r="8" spans="1:6" ht="12.75">
      <c r="A8" s="32"/>
      <c r="B8" s="32"/>
      <c r="C8" s="32"/>
      <c r="D8" s="32"/>
      <c r="E8" s="29"/>
      <c r="F8" s="29"/>
    </row>
    <row r="9" spans="1:6" ht="12.75">
      <c r="A9" s="33" t="s">
        <v>1</v>
      </c>
      <c r="B9" s="29"/>
      <c r="C9" s="29"/>
      <c r="D9" s="29"/>
      <c r="E9" s="29"/>
      <c r="F9" s="29"/>
    </row>
    <row r="10" spans="1:6" ht="12.75">
      <c r="A10" s="34" t="s">
        <v>9</v>
      </c>
      <c r="B10" s="45">
        <f>'Emp. Related Exp.'!C19</f>
        <v>0.236</v>
      </c>
      <c r="C10" s="36"/>
      <c r="D10" s="36">
        <f>B10*(D4+D7)</f>
        <v>28.2948972856704</v>
      </c>
      <c r="E10" s="29"/>
      <c r="F10" s="29"/>
    </row>
    <row r="11" spans="1:6" ht="16.5" customHeight="1">
      <c r="A11" s="32"/>
      <c r="B11" s="32"/>
      <c r="C11" s="32"/>
      <c r="D11" s="32"/>
      <c r="E11" s="29"/>
      <c r="F11" s="29"/>
    </row>
    <row r="12" spans="1:6" ht="12.75">
      <c r="A12" s="33" t="s">
        <v>35</v>
      </c>
      <c r="B12" s="29"/>
      <c r="C12" s="29"/>
      <c r="D12" s="29"/>
      <c r="E12" s="29"/>
      <c r="F12" s="29"/>
    </row>
    <row r="13" spans="1:6" ht="12.75">
      <c r="A13" s="37" t="s">
        <v>36</v>
      </c>
      <c r="B13" s="46">
        <f>'Client Programming &amp; Supports'!C9</f>
        <v>0.1037</v>
      </c>
      <c r="D13" s="38">
        <f>(D4+D7+D10)*B13</f>
        <v>15.367150545659703</v>
      </c>
      <c r="E13" s="29"/>
      <c r="F13" s="29"/>
    </row>
    <row r="14" spans="1:6" ht="12.75">
      <c r="A14" s="32"/>
      <c r="B14" s="32"/>
      <c r="C14" s="32"/>
      <c r="D14" s="32"/>
      <c r="E14" s="29"/>
      <c r="F14" s="29"/>
    </row>
    <row r="15" spans="1:6" ht="12.75">
      <c r="A15" s="33" t="s">
        <v>48</v>
      </c>
      <c r="B15" s="29"/>
      <c r="C15" s="29"/>
      <c r="D15" s="29"/>
      <c r="E15" s="29"/>
      <c r="F15" s="29"/>
    </row>
    <row r="16" spans="1:6" ht="12.75">
      <c r="A16" s="37" t="s">
        <v>66</v>
      </c>
      <c r="B16" s="39">
        <f>'Program Facility'!C5</f>
        <v>8.008</v>
      </c>
      <c r="D16" s="38">
        <f>B16</f>
        <v>8.008</v>
      </c>
      <c r="E16" s="29"/>
      <c r="F16" s="29"/>
    </row>
    <row r="17" spans="1:6" ht="12.75">
      <c r="A17" s="32"/>
      <c r="B17" s="32"/>
      <c r="C17" s="32"/>
      <c r="D17" s="32"/>
      <c r="E17" s="29"/>
      <c r="F17" s="29"/>
    </row>
    <row r="18" spans="1:6" ht="12.75">
      <c r="A18" s="33" t="s">
        <v>13</v>
      </c>
      <c r="B18" s="29"/>
      <c r="C18" s="29"/>
      <c r="D18" s="29"/>
      <c r="E18" s="29"/>
      <c r="F18" s="29"/>
    </row>
    <row r="19" spans="1:6" ht="12.75">
      <c r="A19" s="34" t="s">
        <v>12</v>
      </c>
      <c r="B19" s="47">
        <f>'Program Related Expenses'!E8</f>
        <v>0.1895</v>
      </c>
      <c r="C19" s="36"/>
      <c r="D19" s="36">
        <f>E19-(D4+D7+D10+D13+D16)</f>
        <v>40.112668026366265</v>
      </c>
      <c r="E19" s="112">
        <f>(D4+D7+D10+D13+D16)/(1-B19)</f>
        <v>211.6763484240964</v>
      </c>
      <c r="F19" s="29"/>
    </row>
    <row r="20" spans="1:6" ht="12.75">
      <c r="A20" s="105"/>
      <c r="B20" s="106"/>
      <c r="C20" s="36"/>
      <c r="D20" s="36"/>
      <c r="E20" s="29"/>
      <c r="F20" s="29"/>
    </row>
    <row r="21" spans="1:6" ht="12.75">
      <c r="A21" s="33" t="s">
        <v>232</v>
      </c>
      <c r="B21" s="107"/>
      <c r="C21" s="108"/>
      <c r="D21" s="108"/>
      <c r="E21" s="29"/>
      <c r="F21" s="29"/>
    </row>
    <row r="22" spans="1:6" ht="12.75">
      <c r="A22" s="55" t="s">
        <v>233</v>
      </c>
      <c r="B22" s="109" t="str">
        <f>'Regional Variance Factor'!B7</f>
        <v>-</v>
      </c>
      <c r="C22" s="110"/>
      <c r="D22" s="111" t="str">
        <f>IF((B22&lt;&gt;"-"),((E19*B22)-E19),"Select County")</f>
        <v>Select County</v>
      </c>
      <c r="E22" s="29"/>
      <c r="F22" s="29"/>
    </row>
    <row r="23" spans="1:6" ht="12.75">
      <c r="A23" s="32"/>
      <c r="B23" s="32"/>
      <c r="C23" s="32"/>
      <c r="D23" s="32"/>
      <c r="E23" s="29"/>
      <c r="F23" s="29"/>
    </row>
    <row r="24" spans="1:6" ht="12.75">
      <c r="A24" s="40" t="s">
        <v>98</v>
      </c>
      <c r="B24" s="35" t="str">
        <f>D24</f>
        <v>Select County</v>
      </c>
      <c r="D24" s="38" t="str">
        <f>IF((B22&lt;&gt;"-"),E19+D22,"Select County")</f>
        <v>Select County</v>
      </c>
      <c r="E24" s="29"/>
      <c r="F24" s="29"/>
    </row>
    <row r="25" spans="1:6" ht="12.75">
      <c r="A25" s="32"/>
      <c r="B25" s="32"/>
      <c r="C25" s="32"/>
      <c r="D25" s="32"/>
      <c r="E25" s="29"/>
      <c r="F25" s="29"/>
    </row>
    <row r="26" spans="1:8" ht="12.75">
      <c r="A26" s="33" t="s">
        <v>86</v>
      </c>
      <c r="B26" s="107">
        <v>1</v>
      </c>
      <c r="C26" s="110"/>
      <c r="D26" s="110"/>
      <c r="E26" s="110"/>
      <c r="F26" s="110"/>
      <c r="G26" s="113"/>
      <c r="H26" s="114"/>
    </row>
    <row r="27" spans="1:8" ht="12.75">
      <c r="A27" s="55" t="s">
        <v>234</v>
      </c>
      <c r="B27" s="115" t="str">
        <f>IF((B22&lt;&gt;"-"),G29,"-")</f>
        <v>-</v>
      </c>
      <c r="C27" s="110"/>
      <c r="D27" s="116"/>
      <c r="E27" s="110"/>
      <c r="F27" s="110"/>
      <c r="G27" s="117">
        <f>B26</f>
        <v>1</v>
      </c>
      <c r="H27" s="114"/>
    </row>
    <row r="28" spans="1:8" ht="12.75">
      <c r="A28" s="118"/>
      <c r="B28" s="119"/>
      <c r="C28" s="110"/>
      <c r="D28" s="120"/>
      <c r="E28" s="121"/>
      <c r="F28" s="121"/>
      <c r="G28" s="113">
        <f>1-G27</f>
        <v>0</v>
      </c>
      <c r="H28" s="114"/>
    </row>
    <row r="29" spans="1:8" ht="12.75">
      <c r="A29" s="33" t="s">
        <v>235</v>
      </c>
      <c r="C29" s="110"/>
      <c r="D29" s="110"/>
      <c r="E29" s="110"/>
      <c r="F29" s="110"/>
      <c r="G29" s="122" t="e">
        <f>((B24+B22)*G27)-(B24+B22)</f>
        <v>#VALUE!</v>
      </c>
      <c r="H29" s="114"/>
    </row>
    <row r="30" spans="1:8" ht="12.75">
      <c r="A30" s="55" t="s">
        <v>236</v>
      </c>
      <c r="B30" s="39" t="str">
        <f>IF((B22&lt;&gt;"-"),B24+B27,"-")</f>
        <v>-</v>
      </c>
      <c r="C30" s="110"/>
      <c r="D30" s="110"/>
      <c r="E30" s="110"/>
      <c r="F30" s="110"/>
      <c r="G30" s="110"/>
      <c r="H30" s="123"/>
    </row>
    <row r="31" spans="3:7" ht="12.75">
      <c r="C31" s="110"/>
      <c r="D31" s="110"/>
      <c r="E31" s="110"/>
      <c r="F31" s="110"/>
      <c r="G31" s="110"/>
    </row>
    <row r="32" spans="1:7" ht="12.75">
      <c r="A32" s="33" t="s">
        <v>114</v>
      </c>
      <c r="B32" s="107">
        <v>0.01</v>
      </c>
      <c r="C32" s="110"/>
      <c r="D32" s="110"/>
      <c r="E32" s="110"/>
      <c r="F32" s="110"/>
      <c r="G32" s="110"/>
    </row>
    <row r="33" spans="1:7" ht="12.75">
      <c r="A33" s="55" t="s">
        <v>115</v>
      </c>
      <c r="B33" s="39" t="str">
        <f>IF((B22&lt;&gt;"-"),B32*B30,"-")</f>
        <v>-</v>
      </c>
      <c r="C33" s="110"/>
      <c r="D33" s="110"/>
      <c r="E33" s="110"/>
      <c r="F33" s="110"/>
      <c r="G33" s="110"/>
    </row>
    <row r="34" spans="3:7" ht="12.75">
      <c r="C34" s="110"/>
      <c r="D34" s="110"/>
      <c r="E34" s="110"/>
      <c r="F34" s="110"/>
      <c r="G34" s="110"/>
    </row>
    <row r="35" spans="1:7" ht="12.75">
      <c r="A35" s="33" t="s">
        <v>237</v>
      </c>
      <c r="C35" s="110"/>
      <c r="D35" s="110"/>
      <c r="E35" s="110"/>
      <c r="F35" s="110"/>
      <c r="G35" s="110"/>
    </row>
    <row r="36" spans="1:7" ht="12.75">
      <c r="A36" s="55" t="s">
        <v>238</v>
      </c>
      <c r="B36" s="39" t="str">
        <f>IF(B22&lt;&gt;"-",B33+B30,"-")</f>
        <v>-</v>
      </c>
      <c r="C36" s="110"/>
      <c r="D36" s="110"/>
      <c r="E36" s="110"/>
      <c r="F36" s="110"/>
      <c r="G36" s="110"/>
    </row>
    <row r="37" spans="3:7" ht="12.75">
      <c r="C37" s="110"/>
      <c r="D37" s="110"/>
      <c r="E37" s="110"/>
      <c r="F37" s="110"/>
      <c r="G37" s="110"/>
    </row>
    <row r="38" spans="1:7" ht="12.75">
      <c r="A38" s="33" t="s">
        <v>117</v>
      </c>
      <c r="B38" s="107">
        <v>0.05</v>
      </c>
      <c r="C38" s="110"/>
      <c r="D38" s="110"/>
      <c r="E38" s="110"/>
      <c r="F38" s="110"/>
      <c r="G38" s="110"/>
    </row>
    <row r="39" spans="1:7" ht="12.75">
      <c r="A39" s="55" t="s">
        <v>115</v>
      </c>
      <c r="B39" s="39" t="str">
        <f>IF(B22&lt;&gt;"-",B38*B36,"-")</f>
        <v>-</v>
      </c>
      <c r="C39" s="110"/>
      <c r="D39" s="110"/>
      <c r="E39" s="110"/>
      <c r="F39" s="110"/>
      <c r="G39" s="110"/>
    </row>
    <row r="40" spans="3:7" ht="12.75">
      <c r="C40" s="110"/>
      <c r="D40" s="110"/>
      <c r="E40" s="110"/>
      <c r="F40" s="110"/>
      <c r="G40" s="110"/>
    </row>
    <row r="41" spans="1:7" ht="12.75">
      <c r="A41" s="33" t="s">
        <v>239</v>
      </c>
      <c r="C41" s="110"/>
      <c r="D41" s="110"/>
      <c r="E41" s="110"/>
      <c r="F41" s="110"/>
      <c r="G41" s="110"/>
    </row>
    <row r="42" spans="1:7" ht="12.75">
      <c r="A42" s="55" t="s">
        <v>238</v>
      </c>
      <c r="B42" s="39" t="str">
        <f>IF(B22&lt;&gt;"-",B39+B36,"-")</f>
        <v>-</v>
      </c>
      <c r="C42" s="110"/>
      <c r="D42" s="110"/>
      <c r="E42" s="110"/>
      <c r="F42" s="110"/>
      <c r="G42" s="110"/>
    </row>
    <row r="43" spans="3:7" ht="12.75">
      <c r="C43" s="110"/>
      <c r="D43" s="110"/>
      <c r="E43" s="110"/>
      <c r="F43" s="110"/>
      <c r="G43" s="110"/>
    </row>
    <row r="44" spans="1:7" ht="12.75">
      <c r="A44" s="33" t="s">
        <v>123</v>
      </c>
      <c r="B44" s="107">
        <v>0.01</v>
      </c>
      <c r="C44" s="110"/>
      <c r="D44" s="110"/>
      <c r="E44" s="110"/>
      <c r="F44" s="110"/>
      <c r="G44" s="110"/>
    </row>
    <row r="45" spans="1:7" ht="12.75">
      <c r="A45" s="55" t="s">
        <v>115</v>
      </c>
      <c r="B45" s="39" t="str">
        <f>IF(B22&lt;&gt;"-",B44*B42,"-")</f>
        <v>-</v>
      </c>
      <c r="C45" s="110"/>
      <c r="D45" s="110"/>
      <c r="E45" s="110"/>
      <c r="F45" s="110"/>
      <c r="G45" s="110"/>
    </row>
    <row r="46" spans="3:7" ht="12.75">
      <c r="C46" s="110"/>
      <c r="D46" s="110"/>
      <c r="E46" s="110"/>
      <c r="F46" s="110"/>
      <c r="G46" s="110"/>
    </row>
    <row r="47" spans="1:7" ht="12.75">
      <c r="A47" s="33" t="s">
        <v>240</v>
      </c>
      <c r="C47" s="110"/>
      <c r="D47" s="110"/>
      <c r="E47" s="110"/>
      <c r="F47" s="110"/>
      <c r="G47" s="110"/>
    </row>
    <row r="48" spans="1:7" ht="12.75">
      <c r="A48" s="55" t="s">
        <v>238</v>
      </c>
      <c r="B48" s="39" t="str">
        <f>IF(B22&lt;&gt;"-",B45+B42,"Select County")</f>
        <v>Select County</v>
      </c>
      <c r="C48" s="110"/>
      <c r="D48" s="110"/>
      <c r="E48" s="110"/>
      <c r="F48" s="110"/>
      <c r="G48" s="110"/>
    </row>
  </sheetData>
  <sheetProtection password="D3F7" sheet="1"/>
  <dataValidations count="24">
    <dataValidation allowBlank="1" showInputMessage="1" showErrorMessage="1" prompt="Staffing Costs per Day formula is equal Total Individual Staffing Amount from Direct Staffing sheet" sqref="B4"/>
    <dataValidation allowBlank="1" showInputMessage="1" showErrorMessage="1" prompt="Cost for Staffing per Day Rate Calculation formula is equal to Staffing Cost per Day"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Day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Day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Day Rate plus Program Support Rate plus Employee Related Expense Rate) times Client Programming and Supports Standard" sqref="D13"/>
    <dataValidation allowBlank="1" showInputMessage="1" showErrorMessage="1" prompt="Program Facility Cost formula is equal to Dai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Daily Rate minus the sum of (Staffing per Day Rate plus Program Support Rate plus Employee Related Expense Rate plus Client Programming and Supports Rate plus Program Facility Rate)" sqref="D19:D20"/>
    <dataValidation allowBlank="1" showInputMessage="1" showErrorMessage="1" prompt="Daily Rate formula is equal to Total Daily Rate" sqref="B24"/>
    <dataValidation allowBlank="1" showInputMessage="1" showErrorMessage="1" prompt="Daily Rate Calculation formula is equal to sum of(Staffing per Day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multiplied by the Unit Rate " sqref="B30"/>
    <dataValidation allowBlank="1" showInputMessage="1" showErrorMessage="1" prompt="Cost of Living Adjustment formula is Original Total Unit Rate multiplied by the COLA" sqref="B45"/>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8"/>
    <dataValidation allowBlank="1" showInputMessage="1" showErrorMessage="1" prompt="Cost of Living Adjustment formula is Original Total Unit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4:C10"/>
  <sheetViews>
    <sheetView zoomScalePageLayoutView="0" workbookViewId="0" topLeftCell="A1">
      <selection activeCell="B11" sqref="B11"/>
    </sheetView>
  </sheetViews>
  <sheetFormatPr defaultColWidth="9.140625" defaultRowHeight="12.75"/>
  <cols>
    <col min="2" max="2" width="50.28125" style="0" customWidth="1"/>
  </cols>
  <sheetData>
    <row r="4" spans="1:2" ht="12.75">
      <c r="A4" t="s">
        <v>111</v>
      </c>
      <c r="B4" t="s">
        <v>112</v>
      </c>
    </row>
    <row r="5" spans="1:3" ht="12.75">
      <c r="A5" s="95">
        <v>41610</v>
      </c>
      <c r="B5" t="s">
        <v>109</v>
      </c>
      <c r="C5" t="s">
        <v>120</v>
      </c>
    </row>
    <row r="6" spans="1:3" ht="12.75">
      <c r="A6" s="95">
        <v>41684</v>
      </c>
      <c r="B6" t="s">
        <v>110</v>
      </c>
      <c r="C6" t="s">
        <v>120</v>
      </c>
    </row>
    <row r="7" spans="1:3" ht="12.75">
      <c r="A7" s="95">
        <v>41709</v>
      </c>
      <c r="B7" t="s">
        <v>113</v>
      </c>
      <c r="C7" t="s">
        <v>121</v>
      </c>
    </row>
    <row r="8" spans="1:3" ht="12.75">
      <c r="A8" s="95">
        <v>41808</v>
      </c>
      <c r="B8" t="s">
        <v>116</v>
      </c>
      <c r="C8" t="s">
        <v>122</v>
      </c>
    </row>
    <row r="9" spans="1:3" ht="12.75">
      <c r="A9" s="95">
        <v>42164</v>
      </c>
      <c r="B9" s="96" t="s">
        <v>118</v>
      </c>
      <c r="C9" t="s">
        <v>119</v>
      </c>
    </row>
    <row r="10" spans="1:3" ht="25.5">
      <c r="A10" s="95">
        <v>42887</v>
      </c>
      <c r="B10" s="124" t="s">
        <v>241</v>
      </c>
      <c r="C10" s="125" t="s">
        <v>242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2010-07-26T14:38:27Z</cp:lastPrinted>
  <dcterms:created xsi:type="dcterms:W3CDTF">2009-10-20T14:58:44Z</dcterms:created>
  <dcterms:modified xsi:type="dcterms:W3CDTF">2017-06-19T16:01:00Z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MnSPA R17.2</vt:lpwstr>
  </property>
  <property fmtid="{D5CDD505-2E9C-101B-9397-08002B2CF9AE}" pid="8" name="Sub category-req:">
    <vt:lpwstr>Frameworks</vt:lpwstr>
  </property>
</Properties>
</file>