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0" yWindow="65500" windowWidth="9060" windowHeight="2940" tabRatio="871" activeTab="0"/>
  </bookViews>
  <sheets>
    <sheet name="Direct Staffing" sheetId="1" r:id="rId1"/>
    <sheet name="Program Plan Support" sheetId="2" r:id="rId2"/>
    <sheet name="Emp. Related Exp." sheetId="3" r:id="rId3"/>
    <sheet name="Client Programming &amp; Supports" sheetId="4" r:id="rId4"/>
    <sheet name="Program Facility" sheetId="5" r:id="rId5"/>
    <sheet name="Program Related Expenses" sheetId="6" r:id="rId6"/>
    <sheet name="Regional Variance Factor" sheetId="7" r:id="rId7"/>
    <sheet name="Adult Day Rate Framework" sheetId="8" r:id="rId8"/>
    <sheet name="Version" sheetId="9" state="hidden" r:id="rId9"/>
  </sheets>
  <definedNames>
    <definedName name="Budget_Neutrality">'Adult Day Rate Framework'!$A$26:$B$27</definedName>
    <definedName name="columntitleregion1.b14.g20.1">'Direct Staffing'!$A$17:$F$19</definedName>
    <definedName name="Customization">'Direct Staffing'!$A$16:$F$19</definedName>
    <definedName name="DirectStaff">'Direct Staffing'!$A$6:$F$10</definedName>
    <definedName name="LPN_Units">'Direct Staffing'!$A$21:$D$23</definedName>
    <definedName name="_xlnm.Print_Area" localSheetId="1">'Program Plan Support'!$A$1:$C$9</definedName>
    <definedName name="Relief_Staff">'Direct Staffing'!$A$29:$D$31</definedName>
    <definedName name="RN_Units">'Direct Staffing'!$A$25:$D$27</definedName>
    <definedName name="Supervision">'Direct Staffing'!$A$12:$F$14</definedName>
    <definedName name="titleregion1.b5.g6.1">'Direct Staffing'!$A$9:$F$10</definedName>
    <definedName name="titleregion2.b9.g11.1">'Direct Staffing'!$A$13:$F$14</definedName>
    <definedName name="TotalStaffing">'Direct Staffing'!$A$33:$C$34</definedName>
  </definedNames>
  <calcPr fullCalcOnLoad="1"/>
</workbook>
</file>

<file path=xl/sharedStrings.xml><?xml version="1.0" encoding="utf-8"?>
<sst xmlns="http://schemas.openxmlformats.org/spreadsheetml/2006/main" count="380" uniqueCount="278">
  <si>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</si>
  <si>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</si>
  <si>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</si>
  <si>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</si>
  <si>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</si>
  <si>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</si>
  <si>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</si>
  <si>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</si>
  <si>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</si>
  <si>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</si>
  <si>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</si>
  <si>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</si>
  <si>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</si>
  <si>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</si>
  <si>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</si>
  <si>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</si>
  <si>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</si>
  <si>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</si>
  <si>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</si>
  <si>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</si>
  <si>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</si>
  <si>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</si>
  <si>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</si>
  <si>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</si>
  <si>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</si>
  <si>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</si>
  <si>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</si>
  <si>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</si>
  <si>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</si>
  <si>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</si>
  <si>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</si>
  <si>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</si>
  <si>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</si>
  <si>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</si>
  <si>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</si>
  <si>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</si>
  <si>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</si>
  <si>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</si>
  <si>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</si>
  <si>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</si>
  <si>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</si>
  <si>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</si>
  <si>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</si>
  <si>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</si>
  <si>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</si>
  <si>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</si>
  <si>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</si>
  <si>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</si>
  <si>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</si>
  <si>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</si>
  <si>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</si>
  <si>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</si>
  <si>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</si>
  <si>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</si>
  <si>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</si>
  <si>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</si>
  <si>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</si>
  <si>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</si>
  <si>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</si>
  <si>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</si>
  <si>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</si>
  <si>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</si>
  <si>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</si>
  <si>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FRAMEWORK FOR ADULT DAY CARE SERVICES</t>
  </si>
  <si>
    <t>Program Support standard</t>
  </si>
  <si>
    <t>Program Facility cost</t>
  </si>
  <si>
    <t>Standard G&amp;A</t>
  </si>
  <si>
    <t>Program G&amp;A</t>
  </si>
  <si>
    <t>Dental insurance</t>
  </si>
  <si>
    <t>Percentage of direct care to cover staffing benefits</t>
  </si>
  <si>
    <t>Step 2. Total Client Programming and Supports percentage</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</si>
  <si>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Adult Day Care Service to provide in-program transportation for the participant to increase access to the community outside the Adult Day Care location                                                                 - State plan or other available waiver services must be accessed first, and those services must be billed separately.
</t>
  </si>
  <si>
    <t>Program Related Expenses</t>
  </si>
  <si>
    <t>Step 1. Add in standard general and administrative support percentage</t>
  </si>
  <si>
    <t>Utilization Factor</t>
  </si>
  <si>
    <t>Total Program Related Expenses percentage</t>
  </si>
  <si>
    <t>1:5</t>
  </si>
  <si>
    <t>1:7</t>
  </si>
  <si>
    <t>1:9</t>
  </si>
  <si>
    <t>Rate Calculation:</t>
  </si>
  <si>
    <t>* Total Employee Related Expense Percentage</t>
  </si>
  <si>
    <t>Direct Staff Supervision</t>
  </si>
  <si>
    <t>No Customization</t>
  </si>
  <si>
    <t>Supervision Percent</t>
  </si>
  <si>
    <t>Budget Neutrality Factor</t>
  </si>
  <si>
    <t>Units</t>
  </si>
  <si>
    <t>Total cost</t>
  </si>
  <si>
    <t>Pro-rated cost of staff per Unit</t>
  </si>
  <si>
    <t>Total cost per Unit</t>
  </si>
  <si>
    <t>Total Cost per Unit</t>
  </si>
  <si>
    <t>Staffing Customization Amount per Unit</t>
  </si>
  <si>
    <t>Total  Units</t>
  </si>
  <si>
    <t>Rate per person per Unit</t>
  </si>
  <si>
    <t>Unit Facility Cost</t>
  </si>
  <si>
    <t>Total costs for staffing per unit</t>
  </si>
  <si>
    <t>Unit Rate</t>
  </si>
  <si>
    <t>Supervision Units</t>
  </si>
  <si>
    <t>Unit Budget Neutrality</t>
  </si>
  <si>
    <t>Direct service staff necessary to support and related to the provision of Adult Day Care when not engaged in direct contact with clients.</t>
  </si>
  <si>
    <t>RN</t>
  </si>
  <si>
    <t>RN Amount</t>
  </si>
  <si>
    <t>LPN</t>
  </si>
  <si>
    <t>LPN Amount</t>
  </si>
  <si>
    <t>RN Unit Wage</t>
  </si>
  <si>
    <t>LPN Unit Wage</t>
  </si>
  <si>
    <t>Implementation Version</t>
  </si>
  <si>
    <t>Updated order of RN/LPN fields</t>
  </si>
  <si>
    <t>Updated rounding precision to 4 places on totals sheet, two places on all other sheets</t>
  </si>
  <si>
    <t>4/1/2014 COLA increase of 1 % added</t>
  </si>
  <si>
    <t>4/1/2014 COLA</t>
  </si>
  <si>
    <t>Cost of Living Adjustment</t>
  </si>
  <si>
    <t>Original Total Unit Rate</t>
  </si>
  <si>
    <t>Post COLA Total Unit Rate</t>
  </si>
  <si>
    <t>7/1/14 COLA increase of 5% added</t>
  </si>
  <si>
    <t>7/1/2014 COLA</t>
  </si>
  <si>
    <t>Post 7/1/14 COLA Rate</t>
  </si>
  <si>
    <t>Post 4/1/14 COLA Rate</t>
  </si>
  <si>
    <t>7/1/15 COLA increase of 1% added</t>
  </si>
  <si>
    <t>Version 1</t>
  </si>
  <si>
    <t>Version 2</t>
  </si>
  <si>
    <t>Version 3</t>
  </si>
  <si>
    <t>Version 4</t>
  </si>
  <si>
    <t>7/1/2015 COLA</t>
  </si>
  <si>
    <t>Post 7/1/15 COLA Rate</t>
  </si>
  <si>
    <t>Region</t>
  </si>
  <si>
    <t>COR Lead Agency</t>
  </si>
  <si>
    <t xml:space="preserve">MSA Region </t>
  </si>
  <si>
    <t>Aitkin</t>
  </si>
  <si>
    <t>Anoka</t>
  </si>
  <si>
    <t>Becker</t>
  </si>
  <si>
    <t>Beltrami</t>
  </si>
  <si>
    <t>Benton</t>
  </si>
  <si>
    <t>Big Stone</t>
  </si>
  <si>
    <t>Blue Earth</t>
  </si>
  <si>
    <t>Brown</t>
  </si>
  <si>
    <t>Carlton</t>
  </si>
  <si>
    <t>Carver</t>
  </si>
  <si>
    <t>Cass</t>
  </si>
  <si>
    <t>Chippewa</t>
  </si>
  <si>
    <t>Chisago</t>
  </si>
  <si>
    <t>Clay</t>
  </si>
  <si>
    <t>Clearwater</t>
  </si>
  <si>
    <t>Cook</t>
  </si>
  <si>
    <t>Cottonwood</t>
  </si>
  <si>
    <t>Crow Wing</t>
  </si>
  <si>
    <t>Dakota</t>
  </si>
  <si>
    <t>Dodge</t>
  </si>
  <si>
    <t>Douglas</t>
  </si>
  <si>
    <t>Faribault</t>
  </si>
  <si>
    <t>Fillmore</t>
  </si>
  <si>
    <t>Freeborn</t>
  </si>
  <si>
    <t>Goodhue</t>
  </si>
  <si>
    <t>Grant</t>
  </si>
  <si>
    <t>Hennepin</t>
  </si>
  <si>
    <t>Houston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</si>
  <si>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</si>
  <si>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</si>
  <si>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</si>
  <si>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</si>
  <si>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</si>
  <si>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</si>
  <si>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</si>
  <si>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</si>
  <si>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</si>
  <si>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</si>
  <si>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</si>
  <si>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</si>
  <si>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</si>
  <si>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</si>
  <si>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</si>
  <si>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</si>
  <si>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</si>
  <si>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</si>
  <si>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</si>
  <si>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</si>
  <si>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</si>
  <si>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</si>
  <si>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</si>
  <si>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</si>
  <si>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</si>
  <si>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</si>
  <si>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</si>
  <si>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</si>
  <si>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</si>
  <si>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</si>
  <si>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</si>
  <si>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</si>
  <si>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</si>
  <si>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</si>
  <si>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</si>
  <si>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</si>
  <si>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</si>
  <si>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</si>
  <si>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</si>
  <si>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</si>
  <si>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</si>
  <si>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</si>
  <si>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</si>
  <si>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</si>
  <si>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</si>
  <si>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</si>
  <si>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</si>
  <si>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</si>
  <si>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</si>
  <si>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</si>
  <si>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</si>
  <si>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</si>
  <si>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</si>
  <si>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</si>
  <si>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</si>
  <si>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</si>
  <si>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</si>
  <si>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</si>
  <si>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</si>
  <si>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RVF</t>
  </si>
  <si>
    <t>Northeast Region</t>
  </si>
  <si>
    <t>Metro Region</t>
  </si>
  <si>
    <t>Northwest Region</t>
  </si>
  <si>
    <t>St. Cloud Region</t>
  </si>
  <si>
    <t>Southwest Region</t>
  </si>
  <si>
    <t>Mankato Region</t>
  </si>
  <si>
    <t>Southeast Region</t>
  </si>
  <si>
    <t>Duluth Region</t>
  </si>
  <si>
    <t>Fargo Region</t>
  </si>
  <si>
    <t>Rochester Region</t>
  </si>
  <si>
    <t>Lacrosse Region</t>
  </si>
  <si>
    <t>Grand Forks Region</t>
  </si>
  <si>
    <t>Step 1: Select County of Residence</t>
  </si>
  <si>
    <t>County of Residence</t>
  </si>
  <si>
    <t>Unspecified Region</t>
  </si>
  <si>
    <t>Regional Variance Factor</t>
  </si>
  <si>
    <t>-</t>
  </si>
  <si>
    <t>Updates to include Regional Variance Factor</t>
  </si>
  <si>
    <t>Version 5</t>
  </si>
  <si>
    <t>Regional Variance</t>
  </si>
  <si>
    <t>Select County</t>
  </si>
  <si>
    <t>Version 6</t>
  </si>
  <si>
    <t>LPN Units</t>
  </si>
  <si>
    <t>RN Units</t>
  </si>
  <si>
    <t>Update RN/LPN units selection from Yes/No options to selection of 0-5 values.  This syncs up Excel framework with current capabilities in RMS.</t>
  </si>
  <si>
    <t>Update wage and component values for 7/1/17 legislation</t>
  </si>
  <si>
    <t>Version 7</t>
  </si>
  <si>
    <t>Updated Regional Variance Factor</t>
  </si>
  <si>
    <t>Version 8</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</si>
  <si>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</si>
  <si>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</si>
  <si>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</si>
  <si>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</si>
  <si>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</si>
  <si>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</si>
  <si>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</si>
  <si>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</si>
  <si>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</si>
  <si>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</si>
  <si>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</si>
  <si>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</si>
  <si>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COLAs</t>
  </si>
  <si>
    <t>Version 9</t>
  </si>
  <si>
    <t>Limit LPN and RN units to 1</t>
  </si>
  <si>
    <t>Version 10</t>
  </si>
  <si>
    <t>RN Wage increase, Absence/Utilization increase, Supervisor Wage Increase</t>
  </si>
  <si>
    <t>Version 11</t>
  </si>
  <si>
    <t>Hidden Budget Neutrality Factor</t>
  </si>
  <si>
    <t>Version 12</t>
  </si>
  <si>
    <t>Base hourly wage</t>
  </si>
  <si>
    <t>Competitive Workforce Factor (CWF)</t>
  </si>
  <si>
    <t>Total wage per hour of service</t>
  </si>
  <si>
    <t xml:space="preserve">Step 2. Add wage for direct staff </t>
  </si>
  <si>
    <t>CWF Wage</t>
  </si>
  <si>
    <t>Step 3. Add hours for Supervision</t>
  </si>
  <si>
    <t>Step 4. Add staffing customization option to meet high level needs provided to an individual</t>
  </si>
  <si>
    <t>Step 5. Add LPN Units</t>
  </si>
  <si>
    <t>Step 6. Add RN Units</t>
  </si>
  <si>
    <t>Step 7. Add % to cover vacation, sick and training for individual direct staff hours</t>
  </si>
  <si>
    <t>Step 8. Calculate daily individual staffing</t>
  </si>
  <si>
    <t>TBD</t>
  </si>
  <si>
    <t>Added CWF</t>
  </si>
  <si>
    <t>Step 1. Determine wage for direct care worker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</si>
</sst>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 numFmtId="168" formatCode="_(&quot;$&quot;* #,##0.000_);_(&quot;$&quot;* \(#,##0.000\);_(&quot;$&quot;* &quot;-&quot;??_);_(@_)"/>
    <numFmt numFmtId="169" formatCode="_(&quot;$&quot;* #,##0.000_);_(&quot;$&quot;* \(#,##0.000\);_(&quot;$&quot;* &quot;-&quot;???_);_(@_)"/>
    <numFmt numFmtId="170" formatCode="_(&quot;$&quot;* #,##0.0000_);_(&quot;$&quot;* \(#,##0.0000\);_(&quot;$&quot;* &quot;-&quot;??_);_(@_)"/>
    <numFmt numFmtId="171" formatCode="_(&quot;$&quot;* #,##0.00000_);_(&quot;$&quot;* \(#,##0.00000\);_(&quot;$&quot;* &quot;-&quot;??_);_(@_)"/>
    <numFmt numFmtId="172" formatCode="_(&quot;$&quot;* #,##0.000000_);_(&quot;$&quot;* \(#,##0.000000\);_(&quot;$&quot;* &quot;-&quot;??_);_(@_)"/>
    <numFmt numFmtId="173" formatCode="&quot;$&quot;#,##0.00"/>
    <numFmt numFmtId="174" formatCode="0.0000"/>
  </numFmts>
  <fonts count="46">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0"/>
      <name val="Arial"/>
      <family val="2"/>
    </font>
    <font>
      <sz val="10"/>
      <color theme="1"/>
      <name val="Arial"/>
      <family val="2"/>
    </font>
    <font>
      <b/>
      <sz val="10"/>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style="thin"/>
      <top/>
      <bottom/>
    </border>
    <border>
      <left style="thin"/>
      <right/>
      <top style="thin"/>
      <bottom style="thin"/>
    </border>
    <border>
      <left style="thin"/>
      <right style="thin"/>
      <top style="thin"/>
      <bottom/>
    </border>
    <border>
      <left style="thin"/>
      <right/>
      <top style="medium"/>
      <bottom/>
    </border>
    <border>
      <left style="medium"/>
      <right/>
      <top style="thin"/>
      <bottom style="thin"/>
    </border>
    <border>
      <left style="medium"/>
      <right/>
      <top style="thin"/>
      <bottom style="medium"/>
    </border>
    <border>
      <left style="thin"/>
      <right style="thin"/>
      <top style="medium"/>
      <bottom/>
    </border>
    <border>
      <left/>
      <right/>
      <top style="thin"/>
      <bottom style="thin"/>
    </border>
    <border>
      <left>
        <color indexed="63"/>
      </left>
      <right>
        <color indexed="63"/>
      </right>
      <top style="thin"/>
      <bottom style="medium"/>
    </border>
    <border>
      <left style="medium"/>
      <right/>
      <top style="medium"/>
      <bottom style="thin"/>
    </border>
    <border>
      <left>
        <color indexed="63"/>
      </left>
      <right>
        <color indexed="63"/>
      </right>
      <top style="medium"/>
      <bottom style="thin"/>
    </border>
    <border>
      <left/>
      <right style="medium"/>
      <top style="medium"/>
      <bottom style="thin"/>
    </border>
    <border>
      <left/>
      <right style="medium"/>
      <top style="thin"/>
      <bottom style="thin"/>
    </border>
    <border>
      <left style="medium"/>
      <right/>
      <top/>
      <bottom style="thin"/>
    </border>
    <border>
      <left/>
      <right style="medium"/>
      <top/>
      <bottom style="thin"/>
    </border>
    <border>
      <left/>
      <right style="medium"/>
      <top style="thin"/>
      <bottom style="mediu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style="thin">
        <color theme="0" tint="-0.4999699890613556"/>
      </left>
      <right style="thin">
        <color theme="0" tint="-0.4999699890613556"/>
      </right>
      <top style="thin">
        <color theme="0" tint="-0.4999699890613556"/>
      </top>
      <bottom/>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93">
    <xf numFmtId="0" fontId="0" fillId="0" borderId="0" xfId="0" applyAlignment="1">
      <alignment/>
    </xf>
    <xf numFmtId="0" fontId="0" fillId="33" borderId="0" xfId="0" applyFill="1" applyAlignment="1">
      <alignment/>
    </xf>
    <xf numFmtId="0" fontId="0" fillId="33" borderId="0" xfId="0" applyFill="1" applyBorder="1" applyAlignment="1">
      <alignment/>
    </xf>
    <xf numFmtId="44" fontId="0" fillId="34" borderId="10" xfId="44" applyFont="1" applyFill="1" applyBorder="1" applyAlignment="1">
      <alignment/>
    </xf>
    <xf numFmtId="164" fontId="0" fillId="34" borderId="10" xfId="42" applyNumberFormat="1" applyFont="1" applyFill="1" applyBorder="1" applyAlignment="1">
      <alignment horizontal="center" wrapText="1"/>
    </xf>
    <xf numFmtId="0" fontId="3" fillId="33" borderId="0" xfId="0" applyFont="1" applyFill="1" applyAlignment="1">
      <alignment/>
    </xf>
    <xf numFmtId="44" fontId="0" fillId="33" borderId="0" xfId="44" applyFont="1" applyFill="1" applyBorder="1" applyAlignment="1">
      <alignment horizontal="right" vertical="top"/>
    </xf>
    <xf numFmtId="164" fontId="0" fillId="33" borderId="0" xfId="42" applyNumberFormat="1" applyFont="1" applyFill="1" applyBorder="1" applyAlignment="1">
      <alignment horizontal="right" vertical="top"/>
    </xf>
    <xf numFmtId="0" fontId="3" fillId="33" borderId="0" xfId="0" applyFont="1" applyFill="1" applyBorder="1" applyAlignment="1">
      <alignment horizontal="left"/>
    </xf>
    <xf numFmtId="44" fontId="0" fillId="33" borderId="10" xfId="44"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44" fontId="0" fillId="34" borderId="10" xfId="44" applyFont="1" applyFill="1" applyBorder="1" applyAlignment="1">
      <alignment horizontal="center" wrapText="1"/>
    </xf>
    <xf numFmtId="0" fontId="0" fillId="33" borderId="14" xfId="0" applyFill="1" applyBorder="1" applyAlignment="1">
      <alignment/>
    </xf>
    <xf numFmtId="44" fontId="0" fillId="0" borderId="10" xfId="44" applyFont="1" applyFill="1" applyBorder="1" applyAlignment="1">
      <alignment horizontal="right" vertical="top"/>
    </xf>
    <xf numFmtId="44" fontId="0" fillId="0" borderId="10" xfId="44" applyFont="1" applyFill="1" applyBorder="1" applyAlignment="1">
      <alignment/>
    </xf>
    <xf numFmtId="0" fontId="0" fillId="33" borderId="15" xfId="0" applyFont="1" applyFill="1" applyBorder="1" applyAlignment="1">
      <alignment vertical="top" wrapText="1"/>
    </xf>
    <xf numFmtId="0" fontId="0" fillId="33" borderId="10" xfId="0" applyFont="1" applyFill="1" applyBorder="1" applyAlignment="1">
      <alignment vertical="top" wrapText="1"/>
    </xf>
    <xf numFmtId="0" fontId="0" fillId="33" borderId="16" xfId="0" applyFill="1" applyBorder="1" applyAlignment="1">
      <alignment/>
    </xf>
    <xf numFmtId="164" fontId="0" fillId="34" borderId="10" xfId="42" applyNumberFormat="1" applyFont="1" applyFill="1" applyBorder="1" applyAlignment="1">
      <alignment/>
    </xf>
    <xf numFmtId="9" fontId="3" fillId="34" borderId="10" xfId="0" applyNumberFormat="1" applyFont="1" applyFill="1" applyBorder="1" applyAlignment="1">
      <alignment horizontal="right"/>
    </xf>
    <xf numFmtId="164" fontId="0" fillId="34" borderId="10" xfId="42" applyNumberFormat="1" applyFont="1" applyFill="1" applyBorder="1" applyAlignment="1">
      <alignment horizontal="center"/>
    </xf>
    <xf numFmtId="44" fontId="0" fillId="34" borderId="10" xfId="44" applyFont="1" applyFill="1" applyBorder="1" applyAlignment="1">
      <alignment horizontal="center"/>
    </xf>
    <xf numFmtId="0" fontId="0" fillId="34" borderId="17" xfId="0" applyFill="1" applyBorder="1" applyAlignment="1">
      <alignment wrapText="1"/>
    </xf>
    <xf numFmtId="20" fontId="0" fillId="33" borderId="10" xfId="0" applyNumberFormat="1" applyFill="1" applyBorder="1" applyAlignment="1" quotePrefix="1">
      <alignment horizontal="center"/>
    </xf>
    <xf numFmtId="44" fontId="0" fillId="33" borderId="10" xfId="44" applyFont="1" applyFill="1" applyBorder="1" applyAlignment="1">
      <alignment vertical="top"/>
    </xf>
    <xf numFmtId="0" fontId="5" fillId="33" borderId="0" xfId="0" applyFont="1" applyFill="1" applyAlignment="1">
      <alignment/>
    </xf>
    <xf numFmtId="0" fontId="4" fillId="35" borderId="0" xfId="0" applyFont="1" applyFill="1" applyAlignment="1">
      <alignment/>
    </xf>
    <xf numFmtId="0" fontId="0" fillId="35" borderId="0" xfId="0" applyFill="1" applyAlignment="1">
      <alignment/>
    </xf>
    <xf numFmtId="0" fontId="5" fillId="35" borderId="0" xfId="0" applyFont="1" applyFill="1" applyAlignment="1">
      <alignment/>
    </xf>
    <xf numFmtId="0" fontId="3" fillId="35" borderId="0" xfId="0" applyFont="1" applyFill="1" applyAlignment="1">
      <alignment/>
    </xf>
    <xf numFmtId="0" fontId="0" fillId="35" borderId="15" xfId="0" applyFont="1" applyFill="1" applyBorder="1" applyAlignment="1">
      <alignment/>
    </xf>
    <xf numFmtId="44" fontId="0" fillId="35" borderId="10" xfId="44" applyFont="1" applyFill="1" applyBorder="1" applyAlignment="1">
      <alignment/>
    </xf>
    <xf numFmtId="0" fontId="0" fillId="35" borderId="10" xfId="0" applyFill="1" applyBorder="1" applyAlignment="1">
      <alignment/>
    </xf>
    <xf numFmtId="44" fontId="0" fillId="35" borderId="10" xfId="0" applyNumberFormat="1" applyFill="1" applyBorder="1" applyAlignment="1">
      <alignment/>
    </xf>
    <xf numFmtId="0" fontId="3" fillId="35" borderId="10" xfId="0" applyFont="1" applyFill="1" applyBorder="1" applyAlignment="1">
      <alignment/>
    </xf>
    <xf numFmtId="165" fontId="3" fillId="33" borderId="10" xfId="59" applyNumberFormat="1" applyFont="1" applyFill="1" applyBorder="1" applyAlignment="1">
      <alignment horizontal="left" indent="4"/>
    </xf>
    <xf numFmtId="10" fontId="3" fillId="33" borderId="10" xfId="0" applyNumberFormat="1" applyFont="1" applyFill="1" applyBorder="1" applyAlignment="1">
      <alignment/>
    </xf>
    <xf numFmtId="10" fontId="0" fillId="33" borderId="10" xfId="59" applyNumberFormat="1" applyFont="1" applyFill="1" applyBorder="1" applyAlignment="1">
      <alignment/>
    </xf>
    <xf numFmtId="165" fontId="0" fillId="35" borderId="10" xfId="44" applyNumberFormat="1" applyFont="1" applyFill="1" applyBorder="1" applyAlignment="1">
      <alignment vertical="top"/>
    </xf>
    <xf numFmtId="10" fontId="0" fillId="35" borderId="10" xfId="0" applyNumberFormat="1" applyFont="1" applyFill="1" applyBorder="1" applyAlignment="1">
      <alignment/>
    </xf>
    <xf numFmtId="165" fontId="0" fillId="35" borderId="10" xfId="0" applyNumberFormat="1" applyFill="1" applyBorder="1" applyAlignment="1">
      <alignment/>
    </xf>
    <xf numFmtId="10" fontId="0" fillId="35" borderId="10" xfId="59" applyNumberFormat="1" applyFont="1" applyFill="1" applyBorder="1" applyAlignment="1">
      <alignment vertical="top"/>
    </xf>
    <xf numFmtId="0" fontId="0" fillId="33" borderId="18" xfId="0" applyFont="1" applyFill="1" applyBorder="1" applyAlignment="1" quotePrefix="1">
      <alignment horizontal="right"/>
    </xf>
    <xf numFmtId="0" fontId="0" fillId="33" borderId="19" xfId="0" applyFont="1" applyFill="1" applyBorder="1" applyAlignment="1" quotePrefix="1">
      <alignment horizontal="right"/>
    </xf>
    <xf numFmtId="0" fontId="0" fillId="34" borderId="15" xfId="0" applyFont="1" applyFill="1" applyBorder="1" applyAlignment="1">
      <alignment/>
    </xf>
    <xf numFmtId="0" fontId="0" fillId="33" borderId="15" xfId="0" applyFont="1" applyFill="1" applyBorder="1" applyAlignment="1">
      <alignment/>
    </xf>
    <xf numFmtId="0" fontId="0" fillId="0" borderId="10" xfId="42" applyNumberFormat="1" applyFont="1" applyFill="1" applyBorder="1" applyAlignment="1" applyProtection="1">
      <alignment horizontal="right" vertical="top"/>
      <protection/>
    </xf>
    <xf numFmtId="0" fontId="0" fillId="36" borderId="10" xfId="0" applyFont="1" applyFill="1" applyBorder="1" applyAlignment="1">
      <alignment/>
    </xf>
    <xf numFmtId="9" fontId="0" fillId="0" borderId="10" xfId="42" applyNumberFormat="1" applyFont="1" applyFill="1" applyBorder="1" applyAlignment="1" applyProtection="1">
      <alignment horizontal="right" vertical="top"/>
      <protection/>
    </xf>
    <xf numFmtId="0" fontId="0" fillId="35" borderId="10" xfId="0" applyFont="1" applyFill="1" applyBorder="1" applyAlignment="1">
      <alignment/>
    </xf>
    <xf numFmtId="0" fontId="0" fillId="34" borderId="10" xfId="0" applyFont="1" applyFill="1" applyBorder="1" applyAlignment="1">
      <alignment horizontal="center"/>
    </xf>
    <xf numFmtId="0" fontId="0" fillId="34" borderId="10" xfId="0" applyFont="1" applyFill="1" applyBorder="1" applyAlignment="1">
      <alignment horizontal="center" wrapText="1"/>
    </xf>
    <xf numFmtId="0" fontId="0" fillId="34" borderId="20" xfId="0" applyFont="1" applyFill="1" applyBorder="1" applyAlignment="1">
      <alignment horizontal="right" wrapText="1"/>
    </xf>
    <xf numFmtId="0" fontId="0" fillId="35" borderId="15" xfId="0" applyFont="1" applyFill="1" applyBorder="1" applyAlignment="1">
      <alignment/>
    </xf>
    <xf numFmtId="165" fontId="0" fillId="0" borderId="0" xfId="59" applyNumberFormat="1" applyFont="1" applyFill="1" applyAlignment="1" applyProtection="1">
      <alignment/>
      <protection/>
    </xf>
    <xf numFmtId="0" fontId="0" fillId="33" borderId="21" xfId="0" applyNumberFormat="1" applyFont="1" applyFill="1" applyBorder="1" applyAlignment="1" quotePrefix="1">
      <alignment horizontal="right"/>
    </xf>
    <xf numFmtId="0" fontId="0" fillId="33" borderId="22" xfId="0" applyNumberFormat="1" applyFont="1" applyFill="1" applyBorder="1" applyAlignment="1" quotePrefix="1">
      <alignment horizontal="right"/>
    </xf>
    <xf numFmtId="0" fontId="0" fillId="33" borderId="0" xfId="0" applyFont="1" applyFill="1" applyAlignment="1">
      <alignment/>
    </xf>
    <xf numFmtId="20" fontId="0" fillId="34" borderId="23" xfId="0" applyNumberFormat="1" applyFont="1" applyFill="1" applyBorder="1" applyAlignment="1" quotePrefix="1">
      <alignment horizontal="right"/>
    </xf>
    <xf numFmtId="0" fontId="0" fillId="34" borderId="24" xfId="0" applyNumberFormat="1" applyFont="1" applyFill="1" applyBorder="1" applyAlignment="1" quotePrefix="1">
      <alignment horizontal="right"/>
    </xf>
    <xf numFmtId="0" fontId="0" fillId="34" borderId="25" xfId="0" applyFont="1" applyFill="1" applyBorder="1" applyAlignment="1">
      <alignment horizontal="right" indent="1"/>
    </xf>
    <xf numFmtId="20" fontId="0" fillId="34" borderId="18" xfId="0" applyNumberFormat="1" applyFont="1" applyFill="1" applyBorder="1" applyAlignment="1" quotePrefix="1">
      <alignment horizontal="right"/>
    </xf>
    <xf numFmtId="0" fontId="0" fillId="34" borderId="21" xfId="0" applyNumberFormat="1" applyFont="1" applyFill="1" applyBorder="1" applyAlignment="1" quotePrefix="1">
      <alignment horizontal="right"/>
    </xf>
    <xf numFmtId="0" fontId="0" fillId="34" borderId="26" xfId="0" applyFont="1" applyFill="1" applyBorder="1" applyAlignment="1">
      <alignment horizontal="right" indent="1"/>
    </xf>
    <xf numFmtId="0" fontId="0" fillId="34" borderId="15" xfId="0" applyFont="1" applyFill="1" applyBorder="1" applyAlignment="1">
      <alignment horizontal="left"/>
    </xf>
    <xf numFmtId="0" fontId="0" fillId="34" borderId="10" xfId="0" applyFont="1" applyFill="1" applyBorder="1" applyAlignment="1">
      <alignment horizontal="left" wrapText="1"/>
    </xf>
    <xf numFmtId="20" fontId="0" fillId="34" borderId="27" xfId="0" applyNumberFormat="1" applyFont="1" applyFill="1" applyBorder="1" applyAlignment="1" quotePrefix="1">
      <alignment horizontal="right"/>
    </xf>
    <xf numFmtId="0" fontId="0" fillId="34" borderId="13" xfId="0" applyNumberFormat="1" applyFont="1" applyFill="1" applyBorder="1" applyAlignment="1" quotePrefix="1">
      <alignment horizontal="right"/>
    </xf>
    <xf numFmtId="0" fontId="0" fillId="34" borderId="28" xfId="0" applyFont="1" applyFill="1" applyBorder="1" applyAlignment="1">
      <alignment horizontal="right" indent="1"/>
    </xf>
    <xf numFmtId="0" fontId="0" fillId="33" borderId="15" xfId="0" applyFont="1" applyFill="1" applyBorder="1" applyAlignment="1">
      <alignment horizontal="left"/>
    </xf>
    <xf numFmtId="0" fontId="0" fillId="37" borderId="10" xfId="0" applyFont="1" applyFill="1" applyBorder="1" applyAlignment="1" applyProtection="1">
      <alignment horizontal="left"/>
      <protection locked="0"/>
    </xf>
    <xf numFmtId="20" fontId="0" fillId="33" borderId="18" xfId="0" applyNumberFormat="1" applyFont="1" applyFill="1" applyBorder="1" applyAlignment="1" quotePrefix="1">
      <alignment horizontal="right"/>
    </xf>
    <xf numFmtId="0" fontId="0" fillId="33" borderId="26" xfId="0" applyFont="1" applyFill="1" applyBorder="1" applyAlignment="1">
      <alignment horizontal="right" indent="1"/>
    </xf>
    <xf numFmtId="0" fontId="0" fillId="34" borderId="21" xfId="0" applyFont="1" applyFill="1" applyBorder="1" applyAlignment="1">
      <alignment/>
    </xf>
    <xf numFmtId="0" fontId="0" fillId="33" borderId="21" xfId="0" applyFont="1" applyFill="1" applyBorder="1" applyAlignment="1">
      <alignment/>
    </xf>
    <xf numFmtId="0" fontId="0" fillId="33" borderId="0" xfId="0" applyFont="1" applyFill="1" applyBorder="1" applyAlignment="1">
      <alignment horizontal="left"/>
    </xf>
    <xf numFmtId="0" fontId="0" fillId="33" borderId="29" xfId="0" applyFont="1" applyFill="1" applyBorder="1" applyAlignment="1">
      <alignment horizontal="right" indent="1"/>
    </xf>
    <xf numFmtId="44" fontId="0" fillId="36" borderId="10" xfId="44" applyFont="1" applyFill="1" applyBorder="1" applyAlignment="1">
      <alignment horizontal="right"/>
    </xf>
    <xf numFmtId="0" fontId="0" fillId="34" borderId="10" xfId="0" applyFont="1" applyFill="1" applyBorder="1" applyAlignment="1">
      <alignment/>
    </xf>
    <xf numFmtId="10" fontId="0" fillId="33" borderId="15" xfId="59" applyNumberFormat="1" applyFont="1" applyFill="1" applyBorder="1" applyAlignment="1">
      <alignment/>
    </xf>
    <xf numFmtId="44" fontId="0" fillId="0" borderId="10" xfId="0" applyNumberFormat="1" applyFont="1" applyFill="1" applyBorder="1" applyAlignment="1">
      <alignment/>
    </xf>
    <xf numFmtId="44" fontId="0" fillId="33" borderId="0" xfId="44" applyFont="1" applyFill="1" applyAlignment="1">
      <alignment/>
    </xf>
    <xf numFmtId="164" fontId="0" fillId="33" borderId="0" xfId="42" applyNumberFormat="1" applyFont="1" applyFill="1" applyAlignment="1">
      <alignment/>
    </xf>
    <xf numFmtId="0" fontId="0" fillId="38" borderId="10" xfId="0" applyFont="1" applyFill="1" applyBorder="1" applyAlignment="1">
      <alignment/>
    </xf>
    <xf numFmtId="0" fontId="0" fillId="37" borderId="10" xfId="0" applyFont="1" applyFill="1" applyBorder="1" applyAlignment="1" applyProtection="1">
      <alignment/>
      <protection locked="0"/>
    </xf>
    <xf numFmtId="0" fontId="4" fillId="33" borderId="0" xfId="0" applyFont="1" applyFill="1" applyAlignment="1">
      <alignment/>
    </xf>
    <xf numFmtId="0" fontId="3" fillId="33" borderId="0" xfId="0" applyFont="1" applyFill="1" applyAlignment="1">
      <alignment/>
    </xf>
    <xf numFmtId="0" fontId="0" fillId="35" borderId="0" xfId="0" applyFont="1" applyFill="1" applyBorder="1" applyAlignment="1">
      <alignment/>
    </xf>
    <xf numFmtId="0" fontId="0" fillId="0" borderId="0" xfId="0" applyAlignment="1">
      <alignment wrapText="1"/>
    </xf>
    <xf numFmtId="0" fontId="41" fillId="39" borderId="30" xfId="0" applyFont="1" applyFill="1" applyBorder="1" applyAlignment="1">
      <alignment vertical="center"/>
    </xf>
    <xf numFmtId="0" fontId="42" fillId="0" borderId="30" xfId="0" applyFont="1" applyBorder="1" applyAlignment="1">
      <alignment vertical="center"/>
    </xf>
    <xf numFmtId="0" fontId="0" fillId="0" borderId="30" xfId="0" applyFont="1" applyBorder="1" applyAlignment="1">
      <alignment vertical="top"/>
    </xf>
    <xf numFmtId="0" fontId="0" fillId="0" borderId="0" xfId="0" applyAlignment="1">
      <alignment horizontal="left"/>
    </xf>
    <xf numFmtId="0" fontId="41" fillId="39" borderId="30" xfId="0" applyFont="1" applyFill="1" applyBorder="1" applyAlignment="1">
      <alignment horizontal="left" vertical="center"/>
    </xf>
    <xf numFmtId="0" fontId="42" fillId="36" borderId="30" xfId="0" applyFont="1" applyFill="1" applyBorder="1" applyAlignment="1">
      <alignment vertical="center"/>
    </xf>
    <xf numFmtId="0" fontId="42" fillId="36" borderId="30" xfId="0" applyFont="1" applyFill="1" applyBorder="1" applyAlignment="1" quotePrefix="1">
      <alignment horizontal="left" vertical="center"/>
    </xf>
    <xf numFmtId="0" fontId="3" fillId="35" borderId="0" xfId="0" applyFont="1" applyFill="1" applyBorder="1" applyAlignment="1">
      <alignment/>
    </xf>
    <xf numFmtId="44" fontId="0" fillId="35" borderId="0" xfId="44" applyFont="1" applyFill="1" applyBorder="1" applyAlignment="1">
      <alignment/>
    </xf>
    <xf numFmtId="0" fontId="0" fillId="35" borderId="0" xfId="0" applyFont="1" applyFill="1" applyAlignment="1">
      <alignment/>
    </xf>
    <xf numFmtId="0" fontId="43" fillId="35" borderId="0" xfId="0" applyFont="1" applyFill="1" applyAlignment="1">
      <alignment/>
    </xf>
    <xf numFmtId="167" fontId="0" fillId="0" borderId="30" xfId="0" applyNumberFormat="1" applyBorder="1" applyAlignment="1">
      <alignment/>
    </xf>
    <xf numFmtId="0" fontId="0" fillId="35" borderId="0" xfId="0" applyFont="1" applyFill="1" applyBorder="1" applyAlignment="1">
      <alignment/>
    </xf>
    <xf numFmtId="10" fontId="0" fillId="35" borderId="0" xfId="59" applyNumberFormat="1" applyFont="1" applyFill="1" applyBorder="1" applyAlignment="1">
      <alignment vertical="top"/>
    </xf>
    <xf numFmtId="44" fontId="0" fillId="40" borderId="0" xfId="0" applyNumberFormat="1" applyFill="1" applyBorder="1" applyAlignment="1">
      <alignment/>
    </xf>
    <xf numFmtId="0" fontId="44" fillId="33" borderId="0" xfId="0" applyFont="1" applyFill="1" applyAlignment="1">
      <alignment/>
    </xf>
    <xf numFmtId="0" fontId="44" fillId="35" borderId="0" xfId="0" applyFont="1" applyFill="1" applyAlignment="1">
      <alignment/>
    </xf>
    <xf numFmtId="0" fontId="45" fillId="33" borderId="0" xfId="0" applyFont="1" applyFill="1" applyAlignment="1">
      <alignment/>
    </xf>
    <xf numFmtId="44" fontId="44" fillId="35" borderId="0" xfId="0" applyNumberFormat="1" applyFont="1" applyFill="1" applyAlignment="1">
      <alignment/>
    </xf>
    <xf numFmtId="44" fontId="44" fillId="35" borderId="0" xfId="44" applyFont="1" applyFill="1" applyAlignment="1">
      <alignment/>
    </xf>
    <xf numFmtId="165" fontId="44" fillId="35" borderId="0" xfId="0" applyNumberFormat="1" applyFont="1" applyFill="1" applyAlignment="1">
      <alignment/>
    </xf>
    <xf numFmtId="10" fontId="44" fillId="35" borderId="0" xfId="0" applyNumberFormat="1" applyFont="1" applyFill="1" applyAlignment="1">
      <alignment/>
    </xf>
    <xf numFmtId="10" fontId="0" fillId="40" borderId="10" xfId="59" applyNumberFormat="1" applyFont="1" applyFill="1" applyBorder="1" applyAlignment="1">
      <alignment/>
    </xf>
    <xf numFmtId="44" fontId="44" fillId="40" borderId="0" xfId="44" applyFont="1" applyFill="1" applyAlignment="1">
      <alignment/>
    </xf>
    <xf numFmtId="44" fontId="43" fillId="40" borderId="0" xfId="0" applyNumberFormat="1" applyFont="1" applyFill="1" applyAlignment="1">
      <alignment/>
    </xf>
    <xf numFmtId="44" fontId="0" fillId="0" borderId="10" xfId="44" applyNumberFormat="1" applyFont="1" applyFill="1" applyBorder="1" applyAlignment="1">
      <alignment/>
    </xf>
    <xf numFmtId="44" fontId="0" fillId="33" borderId="10" xfId="44" applyNumberFormat="1" applyFont="1" applyFill="1" applyBorder="1" applyAlignment="1" quotePrefix="1">
      <alignment/>
    </xf>
    <xf numFmtId="44" fontId="0" fillId="37" borderId="14" xfId="44" applyFont="1" applyFill="1" applyBorder="1" applyAlignment="1" applyProtection="1">
      <alignment vertical="top"/>
      <protection locked="0"/>
    </xf>
    <xf numFmtId="44" fontId="0" fillId="37" borderId="31" xfId="44" applyFont="1" applyFill="1" applyBorder="1" applyAlignment="1" applyProtection="1">
      <alignment vertical="top"/>
      <protection/>
    </xf>
    <xf numFmtId="10" fontId="0" fillId="33" borderId="10" xfId="59" applyNumberFormat="1" applyFont="1" applyFill="1" applyBorder="1" applyAlignment="1">
      <alignment horizontal="right" vertical="top"/>
    </xf>
    <xf numFmtId="44" fontId="44" fillId="33" borderId="0" xfId="44" applyFont="1" applyFill="1" applyAlignment="1">
      <alignment/>
    </xf>
    <xf numFmtId="0" fontId="42" fillId="0" borderId="32" xfId="0" applyFont="1" applyBorder="1" applyAlignment="1">
      <alignment vertical="center"/>
    </xf>
    <xf numFmtId="0" fontId="0" fillId="0" borderId="32" xfId="0" applyFont="1" applyBorder="1" applyAlignment="1">
      <alignment vertical="top"/>
    </xf>
    <xf numFmtId="167" fontId="0" fillId="0" borderId="32" xfId="0" applyNumberFormat="1" applyBorder="1" applyAlignment="1">
      <alignment/>
    </xf>
    <xf numFmtId="0" fontId="0" fillId="36" borderId="10" xfId="0" applyFill="1" applyBorder="1" applyAlignment="1">
      <alignment/>
    </xf>
    <xf numFmtId="167" fontId="0" fillId="36" borderId="10" xfId="0" applyNumberFormat="1" applyFill="1" applyBorder="1" applyAlignment="1">
      <alignment/>
    </xf>
    <xf numFmtId="0" fontId="3" fillId="35" borderId="0" xfId="0" applyFont="1" applyFill="1" applyAlignment="1" applyProtection="1">
      <alignment/>
      <protection hidden="1"/>
    </xf>
    <xf numFmtId="165" fontId="0" fillId="0" borderId="0" xfId="59" applyNumberFormat="1" applyFont="1" applyFill="1" applyAlignment="1" applyProtection="1">
      <alignment/>
      <protection hidden="1"/>
    </xf>
    <xf numFmtId="0" fontId="44" fillId="35" borderId="0" xfId="0" applyFont="1" applyFill="1" applyAlignment="1" applyProtection="1">
      <alignment/>
      <protection hidden="1"/>
    </xf>
    <xf numFmtId="0" fontId="43" fillId="40" borderId="0" xfId="0" applyFont="1" applyFill="1" applyAlignment="1" applyProtection="1">
      <alignment/>
      <protection hidden="1"/>
    </xf>
    <xf numFmtId="0" fontId="0" fillId="35" borderId="0" xfId="0" applyFont="1" applyFill="1" applyAlignment="1" applyProtection="1">
      <alignment/>
      <protection hidden="1"/>
    </xf>
    <xf numFmtId="0" fontId="0" fillId="35" borderId="0" xfId="0" applyFill="1" applyAlignment="1" applyProtection="1">
      <alignment/>
      <protection hidden="1"/>
    </xf>
    <xf numFmtId="0" fontId="0" fillId="35" borderId="10" xfId="0" applyFont="1" applyFill="1" applyBorder="1" applyAlignment="1" applyProtection="1">
      <alignment/>
      <protection hidden="1"/>
    </xf>
    <xf numFmtId="44" fontId="0" fillId="40" borderId="10" xfId="0" applyNumberFormat="1" applyFill="1" applyBorder="1" applyAlignment="1" applyProtection="1">
      <alignment/>
      <protection hidden="1"/>
    </xf>
    <xf numFmtId="168" fontId="44" fillId="35" borderId="0" xfId="0" applyNumberFormat="1" applyFont="1" applyFill="1" applyAlignment="1" applyProtection="1">
      <alignment/>
      <protection hidden="1"/>
    </xf>
    <xf numFmtId="165" fontId="43" fillId="40" borderId="0" xfId="0" applyNumberFormat="1" applyFont="1" applyFill="1" applyAlignment="1" applyProtection="1">
      <alignment/>
      <protection hidden="1"/>
    </xf>
    <xf numFmtId="0" fontId="0" fillId="35" borderId="0" xfId="0" applyFont="1" applyFill="1" applyBorder="1" applyAlignment="1" applyProtection="1">
      <alignment/>
      <protection hidden="1"/>
    </xf>
    <xf numFmtId="44" fontId="0" fillId="35" borderId="0" xfId="0" applyNumberFormat="1" applyFill="1" applyBorder="1" applyAlignment="1" applyProtection="1">
      <alignment/>
      <protection hidden="1"/>
    </xf>
    <xf numFmtId="44" fontId="44" fillId="35" borderId="0" xfId="44" applyFont="1" applyFill="1" applyAlignment="1" applyProtection="1">
      <alignment/>
      <protection hidden="1"/>
    </xf>
    <xf numFmtId="0" fontId="44" fillId="33" borderId="0" xfId="0" applyFont="1" applyFill="1" applyAlignment="1" applyProtection="1">
      <alignment/>
      <protection hidden="1"/>
    </xf>
    <xf numFmtId="0" fontId="0" fillId="0" borderId="0" xfId="0" applyAlignment="1" applyProtection="1">
      <alignment/>
      <protection hidden="1"/>
    </xf>
    <xf numFmtId="0" fontId="0" fillId="0" borderId="0" xfId="0" applyAlignment="1" applyProtection="1">
      <alignment wrapText="1"/>
      <protection hidden="1"/>
    </xf>
    <xf numFmtId="14" fontId="0" fillId="0" borderId="0" xfId="0" applyNumberFormat="1" applyAlignment="1" applyProtection="1">
      <alignment/>
      <protection hidden="1"/>
    </xf>
    <xf numFmtId="0" fontId="0" fillId="0" borderId="0" xfId="0" applyFont="1" applyAlignment="1" applyProtection="1">
      <alignment wrapText="1"/>
      <protection hidden="1"/>
    </xf>
    <xf numFmtId="0" fontId="0" fillId="0" borderId="0" xfId="0" applyFont="1" applyAlignment="1" applyProtection="1">
      <alignment/>
      <protection hidden="1"/>
    </xf>
    <xf numFmtId="0" fontId="3" fillId="33" borderId="0" xfId="56" applyFont="1" applyFill="1">
      <alignment/>
      <protection/>
    </xf>
    <xf numFmtId="44" fontId="0" fillId="0" borderId="10" xfId="44" applyFont="1" applyFill="1" applyBorder="1" applyAlignment="1" applyProtection="1">
      <alignment horizontal="right" vertical="top"/>
      <protection/>
    </xf>
    <xf numFmtId="10" fontId="0" fillId="33" borderId="10" xfId="59" applyNumberFormat="1" applyFont="1" applyFill="1" applyBorder="1" applyAlignment="1">
      <alignment/>
    </xf>
    <xf numFmtId="44" fontId="0" fillId="33" borderId="10" xfId="46" applyNumberFormat="1" applyFont="1" applyFill="1" applyBorder="1" applyAlignment="1">
      <alignment/>
    </xf>
    <xf numFmtId="0" fontId="0" fillId="36" borderId="15" xfId="56" applyFont="1" applyFill="1" applyBorder="1" applyAlignment="1">
      <alignment horizontal="left"/>
      <protection/>
    </xf>
    <xf numFmtId="0" fontId="0" fillId="36" borderId="33" xfId="56" applyFont="1" applyFill="1" applyBorder="1" applyAlignment="1">
      <alignment horizontal="left"/>
      <protection/>
    </xf>
    <xf numFmtId="0" fontId="0" fillId="0" borderId="14" xfId="42" applyNumberFormat="1" applyFont="1" applyFill="1" applyBorder="1" applyAlignment="1">
      <alignment horizontal="center" vertical="top" wrapText="1"/>
    </xf>
    <xf numFmtId="0" fontId="0" fillId="0" borderId="31" xfId="42" applyNumberFormat="1" applyFont="1" applyFill="1" applyBorder="1" applyAlignment="1">
      <alignment horizontal="center" vertical="top" wrapText="1"/>
    </xf>
    <xf numFmtId="0" fontId="0" fillId="0" borderId="0" xfId="42" applyNumberFormat="1" applyFont="1" applyFill="1" applyBorder="1" applyAlignment="1">
      <alignment horizontal="center" vertical="top" wrapText="1"/>
    </xf>
    <xf numFmtId="44" fontId="0" fillId="0" borderId="10" xfId="44" applyFont="1" applyFill="1" applyBorder="1" applyAlignment="1">
      <alignment horizontal="center" vertical="top"/>
    </xf>
    <xf numFmtId="9" fontId="0" fillId="33" borderId="15" xfId="59" applyFont="1" applyFill="1" applyBorder="1" applyAlignment="1">
      <alignment horizontal="left"/>
    </xf>
    <xf numFmtId="9" fontId="0" fillId="33" borderId="21" xfId="59" applyFont="1" applyFill="1" applyBorder="1" applyAlignment="1">
      <alignment horizontal="left"/>
    </xf>
    <xf numFmtId="0" fontId="0" fillId="34" borderId="15" xfId="0" applyFont="1" applyFill="1" applyBorder="1" applyAlignment="1">
      <alignment horizontal="left"/>
    </xf>
    <xf numFmtId="0" fontId="0" fillId="34" borderId="33" xfId="0" applyFont="1" applyFill="1" applyBorder="1" applyAlignment="1">
      <alignment horizontal="left"/>
    </xf>
    <xf numFmtId="0" fontId="0" fillId="34" borderId="15" xfId="0" applyFill="1" applyBorder="1" applyAlignment="1">
      <alignment horizontal="left" wrapText="1"/>
    </xf>
    <xf numFmtId="0" fontId="0" fillId="34" borderId="21" xfId="0" applyFill="1" applyBorder="1" applyAlignment="1">
      <alignment horizontal="left" wrapText="1"/>
    </xf>
    <xf numFmtId="0" fontId="0" fillId="34" borderId="33" xfId="0" applyFill="1" applyBorder="1" applyAlignment="1">
      <alignment horizontal="left" wrapText="1"/>
    </xf>
    <xf numFmtId="0" fontId="3" fillId="33" borderId="15" xfId="0" applyFont="1" applyFill="1" applyBorder="1" applyAlignment="1">
      <alignment horizontal="left"/>
    </xf>
    <xf numFmtId="0" fontId="3" fillId="33" borderId="33" xfId="0" applyFont="1" applyFill="1" applyBorder="1" applyAlignment="1">
      <alignment horizontal="left"/>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6" xfId="0" applyFill="1" applyBorder="1" applyAlignment="1">
      <alignment horizontal="left" wrapText="1"/>
    </xf>
    <xf numFmtId="0" fontId="0" fillId="33" borderId="34" xfId="0" applyFill="1" applyBorder="1" applyAlignment="1">
      <alignment horizontal="left"/>
    </xf>
    <xf numFmtId="0" fontId="0" fillId="33" borderId="35" xfId="0" applyFill="1" applyBorder="1" applyAlignment="1">
      <alignment horizontal="left"/>
    </xf>
    <xf numFmtId="10" fontId="0" fillId="33" borderId="16" xfId="59" applyNumberFormat="1" applyFont="1" applyFill="1" applyBorder="1" applyAlignment="1">
      <alignment horizontal="right" vertical="top"/>
    </xf>
    <xf numFmtId="10" fontId="0" fillId="33" borderId="14" xfId="59" applyNumberFormat="1" applyFont="1" applyFill="1" applyBorder="1" applyAlignment="1">
      <alignment horizontal="right" vertical="top"/>
    </xf>
    <xf numFmtId="10" fontId="0" fillId="33" borderId="31" xfId="59" applyNumberFormat="1" applyFont="1" applyFill="1" applyBorder="1" applyAlignment="1">
      <alignment horizontal="right" vertical="top"/>
    </xf>
    <xf numFmtId="0" fontId="0" fillId="34" borderId="15" xfId="0" applyFill="1" applyBorder="1" applyAlignment="1">
      <alignment horizontal="left"/>
    </xf>
    <xf numFmtId="0" fontId="0" fillId="34" borderId="33" xfId="0" applyFill="1" applyBorder="1" applyAlignment="1">
      <alignment horizontal="left"/>
    </xf>
    <xf numFmtId="0" fontId="0" fillId="33" borderId="37" xfId="0" applyFill="1" applyBorder="1" applyAlignment="1">
      <alignment horizontal="left" vertical="top" wrapText="1"/>
    </xf>
    <xf numFmtId="0" fontId="0" fillId="33" borderId="38" xfId="0" applyFill="1" applyBorder="1" applyAlignment="1">
      <alignment horizontal="left" vertical="top" wrapText="1"/>
    </xf>
    <xf numFmtId="0" fontId="0" fillId="33" borderId="15" xfId="0" applyFill="1" applyBorder="1" applyAlignment="1">
      <alignment horizontal="left" wrapText="1"/>
    </xf>
    <xf numFmtId="0" fontId="0" fillId="0" borderId="33" xfId="0" applyBorder="1" applyAlignment="1">
      <alignment/>
    </xf>
    <xf numFmtId="0" fontId="0" fillId="33" borderId="15" xfId="0" applyFont="1" applyFill="1" applyBorder="1" applyAlignment="1">
      <alignment horizontal="left" wrapText="1"/>
    </xf>
    <xf numFmtId="0" fontId="0" fillId="33" borderId="15" xfId="0" applyFill="1" applyBorder="1" applyAlignment="1">
      <alignment horizontal="left"/>
    </xf>
    <xf numFmtId="0" fontId="0" fillId="33" borderId="21" xfId="0" applyFill="1" applyBorder="1" applyAlignment="1">
      <alignment horizontal="left"/>
    </xf>
    <xf numFmtId="0" fontId="0" fillId="33" borderId="33" xfId="0" applyFill="1" applyBorder="1" applyAlignment="1">
      <alignment horizontal="left"/>
    </xf>
    <xf numFmtId="0" fontId="3" fillId="33" borderId="10" xfId="0" applyFont="1" applyFill="1" applyBorder="1" applyAlignment="1">
      <alignment horizontal="left"/>
    </xf>
    <xf numFmtId="0" fontId="3" fillId="34" borderId="10" xfId="0" applyFont="1" applyFill="1" applyBorder="1" applyAlignment="1">
      <alignment horizontal="left"/>
    </xf>
    <xf numFmtId="0" fontId="0" fillId="33" borderId="10" xfId="0" applyFill="1" applyBorder="1" applyAlignment="1">
      <alignment horizontal="left"/>
    </xf>
    <xf numFmtId="0" fontId="0" fillId="37" borderId="15" xfId="0" applyFont="1" applyFill="1" applyBorder="1" applyAlignment="1" applyProtection="1">
      <alignment horizontal="center"/>
      <protection locked="0"/>
    </xf>
    <xf numFmtId="0" fontId="0" fillId="37" borderId="21" xfId="0" applyFont="1" applyFill="1" applyBorder="1" applyAlignment="1" applyProtection="1">
      <alignment horizontal="center"/>
      <protection locked="0"/>
    </xf>
    <xf numFmtId="0" fontId="0" fillId="37" borderId="33" xfId="0" applyFont="1" applyFill="1" applyBorder="1" applyAlignment="1" applyProtection="1">
      <alignment horizontal="center"/>
      <protection locked="0"/>
    </xf>
    <xf numFmtId="0" fontId="0" fillId="36" borderId="15" xfId="0" applyFont="1" applyFill="1" applyBorder="1" applyAlignment="1">
      <alignment horizontal="center"/>
    </xf>
    <xf numFmtId="0" fontId="0" fillId="36" borderId="21" xfId="0" applyFont="1" applyFill="1" applyBorder="1" applyAlignment="1">
      <alignment horizontal="center"/>
    </xf>
    <xf numFmtId="0" fontId="0" fillId="36" borderId="33" xfId="0" applyFont="1" applyFill="1" applyBorder="1" applyAlignment="1">
      <alignment horizontal="center"/>
    </xf>
    <xf numFmtId="2" fontId="0" fillId="0" borderId="10" xfId="44"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tabSelected="1" zoomScale="93" zoomScaleNormal="93" zoomScalePageLayoutView="0" workbookViewId="0" topLeftCell="A7">
      <selection activeCell="O26" sqref="O26"/>
    </sheetView>
  </sheetViews>
  <sheetFormatPr defaultColWidth="9.140625" defaultRowHeight="12.75"/>
  <cols>
    <col min="1" max="1" width="30.57421875" style="59" customWidth="1"/>
    <col min="2" max="2" width="13.00390625" style="83" customWidth="1"/>
    <col min="3" max="3" width="14.7109375" style="83" customWidth="1"/>
    <col min="4" max="4" width="14.7109375" style="84" customWidth="1"/>
    <col min="5" max="5" width="17.421875" style="84" customWidth="1"/>
    <col min="6" max="6" width="17.00390625" style="83" customWidth="1"/>
    <col min="7" max="7" width="9.28125" style="59" customWidth="1"/>
    <col min="8" max="11" width="9.140625" style="59" hidden="1" customWidth="1"/>
    <col min="12" max="13" width="9.140625" style="59" customWidth="1"/>
    <col min="14" max="16384" width="9.140625" style="59" customWidth="1"/>
  </cols>
  <sheetData>
    <row r="1" spans="1:6" ht="15" customHeight="1">
      <c r="A1" s="87" t="s">
        <v>18</v>
      </c>
      <c r="B1" s="59"/>
      <c r="C1" s="59"/>
      <c r="D1" s="59"/>
      <c r="E1" s="59"/>
      <c r="F1" s="59"/>
    </row>
    <row r="2" spans="1:6" ht="15" customHeight="1" thickBot="1">
      <c r="A2" s="88"/>
      <c r="B2" s="59"/>
      <c r="C2" s="59"/>
      <c r="D2" s="59"/>
      <c r="E2" s="59"/>
      <c r="F2" s="59"/>
    </row>
    <row r="3" spans="1:11" ht="15" customHeight="1">
      <c r="A3" s="146" t="s">
        <v>277</v>
      </c>
      <c r="B3" s="146"/>
      <c r="C3" s="146"/>
      <c r="D3" s="59"/>
      <c r="E3" s="59"/>
      <c r="F3" s="59"/>
      <c r="H3" s="60" t="s">
        <v>54</v>
      </c>
      <c r="I3" s="61">
        <f>1/1</f>
        <v>1</v>
      </c>
      <c r="J3" s="61">
        <v>1</v>
      </c>
      <c r="K3" s="62">
        <v>1</v>
      </c>
    </row>
    <row r="4" spans="1:11" ht="15" customHeight="1">
      <c r="A4" s="150" t="s">
        <v>264</v>
      </c>
      <c r="B4" s="151"/>
      <c r="C4" s="147">
        <v>15.3</v>
      </c>
      <c r="H4" s="63" t="s">
        <v>55</v>
      </c>
      <c r="I4" s="64">
        <f>1/0.548</f>
        <v>1.824817518248175</v>
      </c>
      <c r="J4" s="64">
        <v>2</v>
      </c>
      <c r="K4" s="65">
        <v>0.548</v>
      </c>
    </row>
    <row r="5" spans="1:11" ht="12.75">
      <c r="A5" s="150" t="s">
        <v>265</v>
      </c>
      <c r="B5" s="151"/>
      <c r="C5" s="148">
        <v>0.047</v>
      </c>
      <c r="H5" s="68" t="s">
        <v>56</v>
      </c>
      <c r="I5" s="69">
        <f>1/0.397</f>
        <v>2.5188916876574305</v>
      </c>
      <c r="J5" s="69">
        <v>3</v>
      </c>
      <c r="K5" s="70">
        <v>0.397</v>
      </c>
    </row>
    <row r="6" spans="1:11" ht="15" customHeight="1">
      <c r="A6" s="150" t="s">
        <v>266</v>
      </c>
      <c r="B6" s="151"/>
      <c r="C6" s="149">
        <f>ROUND(C4*C5+C4,2)</f>
        <v>16.02</v>
      </c>
      <c r="D6" s="59"/>
      <c r="E6" s="59"/>
      <c r="F6" s="59"/>
      <c r="H6" s="73" t="s">
        <v>57</v>
      </c>
      <c r="I6" s="57">
        <f>1/0.321</f>
        <v>3.115264797507788</v>
      </c>
      <c r="J6" s="57">
        <v>4</v>
      </c>
      <c r="K6" s="74">
        <v>0.321</v>
      </c>
    </row>
    <row r="7" spans="1:11" ht="15" customHeight="1">
      <c r="A7" s="5"/>
      <c r="B7" s="59"/>
      <c r="C7" s="59"/>
      <c r="D7" s="59"/>
      <c r="E7" s="59"/>
      <c r="F7" s="59"/>
      <c r="H7" s="73" t="s">
        <v>76</v>
      </c>
      <c r="I7" s="57">
        <f>1/0.276</f>
        <v>3.623188405797101</v>
      </c>
      <c r="J7" s="57">
        <v>5</v>
      </c>
      <c r="K7" s="74">
        <v>0.276</v>
      </c>
    </row>
    <row r="8" spans="1:11" ht="15" customHeight="1">
      <c r="A8" s="5" t="s">
        <v>267</v>
      </c>
      <c r="B8" s="59"/>
      <c r="C8" s="59"/>
      <c r="D8" s="59"/>
      <c r="E8" s="59"/>
      <c r="F8" s="59"/>
      <c r="H8" s="73" t="s">
        <v>58</v>
      </c>
      <c r="I8" s="57">
        <f>1/0.246</f>
        <v>4.065040650406504</v>
      </c>
      <c r="J8" s="57">
        <v>6</v>
      </c>
      <c r="K8" s="74">
        <v>0.246</v>
      </c>
    </row>
    <row r="9" spans="1:11" ht="15" customHeight="1">
      <c r="A9" s="66" t="s">
        <v>0</v>
      </c>
      <c r="B9" s="67" t="s">
        <v>53</v>
      </c>
      <c r="C9" s="52" t="s">
        <v>268</v>
      </c>
      <c r="D9" s="22" t="s">
        <v>85</v>
      </c>
      <c r="E9" s="52" t="s">
        <v>86</v>
      </c>
      <c r="F9" s="53" t="s">
        <v>87</v>
      </c>
      <c r="H9" s="73" t="s">
        <v>77</v>
      </c>
      <c r="I9" s="57">
        <f>1/0.224</f>
        <v>4.464285714285714</v>
      </c>
      <c r="J9" s="57">
        <v>7</v>
      </c>
      <c r="K9" s="74">
        <v>0.224</v>
      </c>
    </row>
    <row r="10" spans="1:11" ht="15" customHeight="1">
      <c r="A10" s="71" t="s">
        <v>61</v>
      </c>
      <c r="B10" s="72" t="s">
        <v>54</v>
      </c>
      <c r="C10" s="16">
        <f>$C$6</f>
        <v>16.02</v>
      </c>
      <c r="D10" s="48">
        <v>1</v>
      </c>
      <c r="E10" s="192">
        <f>ROUND(C10/4,4)</f>
        <v>4.005</v>
      </c>
      <c r="F10" s="116">
        <f>ROUND(E10/(VLOOKUP(B10,H3:K12,2,FALSE)),4)</f>
        <v>4.005</v>
      </c>
      <c r="H10" s="44" t="s">
        <v>59</v>
      </c>
      <c r="I10" s="57">
        <f>1/0.208</f>
        <v>4.8076923076923075</v>
      </c>
      <c r="J10" s="57">
        <v>8</v>
      </c>
      <c r="K10" s="74">
        <v>0.208</v>
      </c>
    </row>
    <row r="11" spans="2:11" ht="15" customHeight="1">
      <c r="B11" s="59"/>
      <c r="C11" s="59"/>
      <c r="D11" s="59"/>
      <c r="E11" s="59"/>
      <c r="F11" s="59"/>
      <c r="H11" s="44" t="s">
        <v>78</v>
      </c>
      <c r="I11" s="57">
        <f>1/0.196</f>
        <v>5.1020408163265305</v>
      </c>
      <c r="J11" s="57">
        <v>9</v>
      </c>
      <c r="K11" s="74">
        <v>0.196</v>
      </c>
    </row>
    <row r="12" spans="1:11" ht="15" customHeight="1" thickBot="1">
      <c r="A12" s="5" t="s">
        <v>269</v>
      </c>
      <c r="B12" s="59"/>
      <c r="C12" s="59"/>
      <c r="D12" s="59"/>
      <c r="E12" s="59"/>
      <c r="F12" s="59"/>
      <c r="H12" s="45" t="s">
        <v>60</v>
      </c>
      <c r="I12" s="58">
        <f>1/0.186</f>
        <v>5.376344086021505</v>
      </c>
      <c r="J12" s="58">
        <v>10</v>
      </c>
      <c r="K12" s="78">
        <v>0.186</v>
      </c>
    </row>
    <row r="13" spans="1:6" ht="26.25">
      <c r="A13" s="46" t="s">
        <v>81</v>
      </c>
      <c r="B13" s="75"/>
      <c r="C13" s="23" t="s">
        <v>16</v>
      </c>
      <c r="D13" s="4" t="s">
        <v>83</v>
      </c>
      <c r="E13" s="4" t="s">
        <v>96</v>
      </c>
      <c r="F13" s="4" t="s">
        <v>88</v>
      </c>
    </row>
    <row r="14" spans="1:6" ht="15" customHeight="1">
      <c r="A14" s="47" t="s">
        <v>81</v>
      </c>
      <c r="B14" s="76"/>
      <c r="C14" s="15">
        <v>22.81</v>
      </c>
      <c r="D14" s="50">
        <v>0.11</v>
      </c>
      <c r="E14" s="48">
        <f>ROUND(D10*D14,9)</f>
        <v>0.11</v>
      </c>
      <c r="F14" s="15">
        <f>((C14/4)*E14)/VLOOKUP(B10,H3:K12,2,FALSE)</f>
        <v>0.6272749999999999</v>
      </c>
    </row>
    <row r="15" spans="2:6" ht="12.75">
      <c r="B15" s="59"/>
      <c r="C15" s="59"/>
      <c r="D15" s="59"/>
      <c r="E15" s="59"/>
      <c r="F15" s="59"/>
    </row>
    <row r="16" spans="1:6" ht="12.75">
      <c r="A16" s="8" t="s">
        <v>270</v>
      </c>
      <c r="B16" s="77"/>
      <c r="C16" s="6"/>
      <c r="D16" s="7"/>
      <c r="E16" s="7"/>
      <c r="F16" s="6"/>
    </row>
    <row r="17" spans="1:6" ht="39">
      <c r="A17" s="13" t="s">
        <v>23</v>
      </c>
      <c r="B17" s="3" t="s">
        <v>14</v>
      </c>
      <c r="C17" s="4" t="s">
        <v>15</v>
      </c>
      <c r="D17" s="4" t="s">
        <v>91</v>
      </c>
      <c r="E17" s="13" t="s">
        <v>89</v>
      </c>
      <c r="F17" s="4" t="s">
        <v>90</v>
      </c>
    </row>
    <row r="18" spans="1:6" ht="12.75">
      <c r="A18" s="49" t="s">
        <v>82</v>
      </c>
      <c r="B18" s="9">
        <v>0</v>
      </c>
      <c r="C18" s="118">
        <v>0</v>
      </c>
      <c r="D18" s="152">
        <f>IF(C18&gt;0,D10,0)</f>
        <v>0</v>
      </c>
      <c r="E18" s="155">
        <f>ROUND((C18*D18)/4,9)</f>
        <v>0</v>
      </c>
      <c r="F18" s="155">
        <f>E18</f>
        <v>0</v>
      </c>
    </row>
    <row r="19" spans="1:6" ht="12.75">
      <c r="A19" s="49" t="s">
        <v>48</v>
      </c>
      <c r="B19" s="79">
        <v>2.5</v>
      </c>
      <c r="C19" s="119"/>
      <c r="D19" s="153"/>
      <c r="E19" s="155"/>
      <c r="F19" s="155"/>
    </row>
    <row r="20" spans="2:6" ht="12.75">
      <c r="B20" s="59"/>
      <c r="C20" s="59"/>
      <c r="D20" s="59"/>
      <c r="E20" s="59"/>
      <c r="F20" s="59"/>
    </row>
    <row r="21" spans="1:8" ht="12.75">
      <c r="A21" s="5" t="s">
        <v>271</v>
      </c>
      <c r="B21" s="59"/>
      <c r="C21" s="59"/>
      <c r="D21" s="59"/>
      <c r="E21" s="59"/>
      <c r="F21" s="59"/>
      <c r="H21" s="59">
        <v>0</v>
      </c>
    </row>
    <row r="22" spans="1:8" ht="12.75">
      <c r="A22" s="85" t="s">
        <v>0</v>
      </c>
      <c r="B22" s="85" t="s">
        <v>237</v>
      </c>
      <c r="C22" s="85" t="s">
        <v>104</v>
      </c>
      <c r="D22" s="85" t="s">
        <v>102</v>
      </c>
      <c r="E22" s="59"/>
      <c r="F22" s="59"/>
      <c r="H22" s="59">
        <v>1</v>
      </c>
    </row>
    <row r="23" spans="1:8" ht="12.75">
      <c r="A23" s="49" t="s">
        <v>101</v>
      </c>
      <c r="B23" s="86"/>
      <c r="C23" s="9">
        <f>ROUND(20.51/4,4)</f>
        <v>5.1275</v>
      </c>
      <c r="D23" s="9">
        <f>(C23*B23)</f>
        <v>0</v>
      </c>
      <c r="E23" s="59"/>
      <c r="F23" s="59"/>
      <c r="H23" s="59">
        <v>2</v>
      </c>
    </row>
    <row r="24" spans="2:8" ht="12.75">
      <c r="B24" s="59"/>
      <c r="C24" s="59"/>
      <c r="D24" s="59"/>
      <c r="E24" s="59"/>
      <c r="F24" s="59"/>
      <c r="H24" s="59">
        <v>3</v>
      </c>
    </row>
    <row r="25" spans="1:8" ht="12.75">
      <c r="A25" s="5" t="s">
        <v>272</v>
      </c>
      <c r="B25" s="59"/>
      <c r="C25" s="59"/>
      <c r="D25" s="59"/>
      <c r="E25" s="59"/>
      <c r="F25" s="59"/>
      <c r="H25" s="59">
        <v>4</v>
      </c>
    </row>
    <row r="26" spans="1:8" ht="12.75">
      <c r="A26" s="85" t="s">
        <v>0</v>
      </c>
      <c r="B26" s="85" t="s">
        <v>238</v>
      </c>
      <c r="C26" s="85" t="s">
        <v>103</v>
      </c>
      <c r="D26" s="85" t="s">
        <v>100</v>
      </c>
      <c r="E26" s="59"/>
      <c r="F26" s="59"/>
      <c r="H26" s="59">
        <v>5</v>
      </c>
    </row>
    <row r="27" spans="1:6" ht="12.75">
      <c r="A27" s="49" t="s">
        <v>99</v>
      </c>
      <c r="B27" s="86"/>
      <c r="C27" s="9">
        <f>ROUND(37.41/4,9)</f>
        <v>9.3525</v>
      </c>
      <c r="D27" s="9">
        <f>(C27*B27)</f>
        <v>0</v>
      </c>
      <c r="E27" s="59"/>
      <c r="F27" s="59"/>
    </row>
    <row r="28" spans="2:6" ht="12.75">
      <c r="B28" s="59"/>
      <c r="C28" s="59"/>
      <c r="D28" s="59"/>
      <c r="E28" s="59"/>
      <c r="F28" s="59"/>
    </row>
    <row r="29" spans="1:6" ht="12.75">
      <c r="A29" s="5" t="s">
        <v>273</v>
      </c>
      <c r="B29" s="59"/>
      <c r="C29" s="59"/>
      <c r="D29" s="59"/>
      <c r="E29" s="59"/>
      <c r="F29" s="59"/>
    </row>
    <row r="30" spans="1:6" ht="12.75">
      <c r="A30" s="46" t="s">
        <v>69</v>
      </c>
      <c r="B30" s="75"/>
      <c r="C30" s="75"/>
      <c r="D30" s="80" t="s">
        <v>17</v>
      </c>
      <c r="E30" s="59"/>
      <c r="F30" s="59"/>
    </row>
    <row r="31" spans="1:6" ht="12.75">
      <c r="A31" s="156" t="s">
        <v>29</v>
      </c>
      <c r="B31" s="157"/>
      <c r="C31" s="81">
        <v>0.0871</v>
      </c>
      <c r="D31" s="9">
        <f>((F10+F14+F18+D27+D23)*C31)</f>
        <v>0.4034711525</v>
      </c>
      <c r="E31" s="59"/>
      <c r="F31" s="59"/>
    </row>
    <row r="32" spans="2:6" ht="12.75">
      <c r="B32" s="59"/>
      <c r="C32" s="59"/>
      <c r="D32" s="59"/>
      <c r="E32" s="59"/>
      <c r="F32" s="59"/>
    </row>
    <row r="33" spans="1:6" ht="12.75">
      <c r="A33" s="5" t="s">
        <v>274</v>
      </c>
      <c r="B33" s="59"/>
      <c r="C33" s="59"/>
      <c r="D33" s="59"/>
      <c r="E33" s="59"/>
      <c r="F33" s="59"/>
    </row>
    <row r="34" spans="1:6" ht="12.75">
      <c r="A34" s="158" t="s">
        <v>24</v>
      </c>
      <c r="B34" s="159"/>
      <c r="C34" s="82">
        <f>(F10+F14+F18+D27+D23+D31)</f>
        <v>5.0357461525</v>
      </c>
      <c r="D34" s="59"/>
      <c r="E34" s="59"/>
      <c r="F34" s="59"/>
    </row>
    <row r="35" spans="2:6" ht="12.75">
      <c r="B35" s="59"/>
      <c r="C35" s="59"/>
      <c r="D35" s="59"/>
      <c r="E35" s="59"/>
      <c r="F35" s="59"/>
    </row>
    <row r="36" spans="2:6" ht="12.75">
      <c r="B36" s="59"/>
      <c r="C36" s="59"/>
      <c r="D36" s="59"/>
      <c r="E36" s="59"/>
      <c r="F36" s="59"/>
    </row>
    <row r="44" ht="12.75">
      <c r="B44" s="154"/>
    </row>
    <row r="45" ht="19.5" customHeight="1">
      <c r="B45" s="154"/>
    </row>
    <row r="46" ht="12.75">
      <c r="B46" s="154"/>
    </row>
  </sheetData>
  <sheetProtection password="C10A" sheet="1"/>
  <mergeCells count="9">
    <mergeCell ref="A4:B4"/>
    <mergeCell ref="A5:B5"/>
    <mergeCell ref="D18:D19"/>
    <mergeCell ref="B44:B46"/>
    <mergeCell ref="E18:E19"/>
    <mergeCell ref="F18:F19"/>
    <mergeCell ref="A31:B31"/>
    <mergeCell ref="A34:B34"/>
    <mergeCell ref="A6:B6"/>
  </mergeCells>
  <dataValidations count="25">
    <dataValidation allowBlank="1" showInputMessage="1" showErrorMessage="1" prompt="Direct Staff Wage" sqref="C10"/>
    <dataValidation allowBlank="1" showInputMessage="1" showErrorMessage="1" prompt="Direct Staff Units" sqref="D10"/>
    <dataValidation allowBlank="1" showInputMessage="1" showErrorMessage="1" prompt="Direct Staff Total Cost per Unit formula is Wage divided by four" sqref="E10"/>
    <dataValidation allowBlank="1" showInputMessage="1" showErrorMessage="1" prompt="Direct Staff Pro-rated Cost of Staff per Unit formula is Total Cost per Unit divided by last digit of Staffing Ratio" sqref="F10"/>
    <dataValidation allowBlank="1" showInputMessage="1" showErrorMessage="1" prompt="Supervision Wage" sqref="C14"/>
    <dataValidation allowBlank="1" showInputMessage="1" showErrorMessage="1" prompt="Supervision Units formula is equal to Direct Staff Units times Supervision Percent" sqref="E14"/>
    <dataValidation allowBlank="1" showInputMessage="1" showErrorMessage="1" prompt="Supervision Total Cost per Unit formula is ((Supervision Wage divided by four) times Supervision Units) divided by last digit of Staffing Ratio" sqref="F14"/>
    <dataValidation allowBlank="1" showInputMessage="1" showErrorMessage="1" prompt="No Customization Add-on Amount" sqref="B18"/>
    <dataValidation allowBlank="1" showInputMessage="1" showErrorMessage="1" prompt="Benefit Percentage for Direct Care Staffing " sqref="C31"/>
    <dataValidation allowBlank="1" showInputMessage="1" showErrorMessage="1" prompt="Benefit Amount formula is sum of (Direct Staff Prorated Cost of Staff perUnit plus Supervision Total Cost per Unit plus Staffing Customization Amount per Unit plus RN Amount plus LPN Amount) times Benefit Percentage for Direct Staffing" sqref="D31"/>
    <dataValidation allowBlank="1" showInputMessage="1" showErrorMessage="1" prompt="Total Individual Staffing Amount formula is Direct Staff Pro-rated Cost of Staff per Unit plus Supervision Total Cost per Unit plus Staffing Customization Amount per Unit plus RN Amount plus LPN Amount plus Benefit Amount" sqref="C34"/>
    <dataValidation allowBlank="1" showInputMessage="1" showErrorMessage="1" prompt="Use CTRL plus arrow keys to move to edge of each table.  Use TAB to move to data entry fields" sqref="A1"/>
    <dataValidation allowBlank="1" showInputMessage="1" showErrorMessage="1" prompt="If Add-on Choice Amount is greater than $0, Staffing Customization Total Hours per Week formula is equal to Direct Staff Hours per Week" sqref="B44:B46"/>
    <dataValidation type="list" allowBlank="1" showInputMessage="1" showErrorMessage="1" prompt="Enter Add-on Amount.  Press ALT and the down arrow to bring up the drop down options.  Use arrow keys to scroll through the options and press ENTER on the appropriate selection" sqref="C18">
      <formula1>$B$18:$B$19</formula1>
    </dataValidation>
    <dataValidation allowBlank="1" showInputMessage="1" showErrorMessage="1" prompt="Staffing Customization Total Cost per Unit formula is Add-on Amount times Staffing Customization Total Hours per Unit" sqref="E18:E19"/>
    <dataValidation allowBlank="1" showInputMessage="1" showErrorMessage="1" prompt="Staffing Customization Amount per Unit formula is equal to Total Cost per Unit" sqref="F18:F19"/>
    <dataValidation allowBlank="1" showInputMessage="1" showErrorMessage="1" prompt="Supervision Percent" sqref="D14"/>
    <dataValidation allowBlank="1" showInputMessage="1" showErrorMessage="1" prompt="If Add-on Choice Amount is greater than $0, Staffing Customization Total Units formula is equal to Direct Staff Units" sqref="D18:D19"/>
    <dataValidation type="decimal" operator="lessThan" allowBlank="1" showInputMessage="1" showErrorMessage="1" prompt="Select number of RN units.  Press ALT and the down arrow to bring up the drop down options.  Use arrow keys to scroll through the options and press ENTER on the appropriate selection." sqref="B27">
      <formula1>1.00000001</formula1>
    </dataValidation>
    <dataValidation allowBlank="1" showInputMessage="1" showErrorMessage="1" prompt="RN Unit Wage is $37.41 divided by four" sqref="C27"/>
    <dataValidation allowBlank="1" showInputMessage="1" showErrorMessage="1" prompt="LPN Unit Wage is $20.51 divided by four" sqref="C23"/>
    <dataValidation type="decimal" operator="lessThan" allowBlank="1" showInputMessage="1" showErrorMessage="1" prompt="Select number of LPN Units.  Press ALT and the down arrow to bring up the drop down options.  Use arrow keys to scroll through the options and press ENTER on the appropriate selection." sqref="B23">
      <formula1>1.00000001</formula1>
    </dataValidation>
    <dataValidation allowBlank="1" showInputMessage="1" showErrorMessage="1" prompt="Deaf or Hard of Hearing Add-on Amount" sqref="B19"/>
    <dataValidation type="list" allowBlank="1" showInputMessage="1" showErrorMessage="1" prompt="Enter Direct Staff Staffing Ratio.  Press ALT and the down arrow to bring up the drop down options.  Use arrow keys to scroll through the options and press ENTER on the appropriate selection" sqref="B10">
      <formula1>$H$3:$H$12</formula1>
    </dataValidation>
    <dataValidation allowBlank="1" showInputMessage="1" showErrorMessage="1" prompt="Shared On-site Primary Staff/Awake Wage" sqref="C4"/>
  </dataValidations>
  <printOptions/>
  <pageMargins left="0.75" right="0.75" top="1.37" bottom="1" header="0.5" footer="0.5"/>
  <pageSetup fitToHeight="1" fitToWidth="1" horizontalDpi="600" verticalDpi="600" orientation="portrait" scale="79" r:id="rId2"/>
  <headerFooter alignWithMargins="0">
    <oddHeader>&amp;C&amp;G</oddHeader>
    <oddFooter>&amp;LDWRS Draft framework for Adult Day Care Services&amp;R&amp;P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zoomScale="125" zoomScaleNormal="125" zoomScalePageLayoutView="0" workbookViewId="0" topLeftCell="A1">
      <selection activeCell="B16" sqref="B16"/>
    </sheetView>
  </sheetViews>
  <sheetFormatPr defaultColWidth="9.140625" defaultRowHeight="12.75"/>
  <cols>
    <col min="1" max="1" width="3.7109375" style="1" customWidth="1"/>
    <col min="2" max="2" width="62.7109375" style="1" customWidth="1"/>
    <col min="3" max="3" width="13.140625" style="1" customWidth="1"/>
    <col min="4" max="7" width="9.140625" style="2" customWidth="1"/>
    <col min="8" max="16384" width="9.140625" style="1" customWidth="1"/>
  </cols>
  <sheetData>
    <row r="1" spans="1:5" ht="15">
      <c r="A1" s="87" t="s">
        <v>38</v>
      </c>
      <c r="B1" s="87"/>
      <c r="C1" s="87"/>
      <c r="D1" s="27"/>
      <c r="E1" s="27"/>
    </row>
    <row r="2" spans="1:5" ht="12.75">
      <c r="A2" s="27"/>
      <c r="B2" s="27"/>
      <c r="C2" s="27"/>
      <c r="D2" s="27"/>
      <c r="E2" s="27"/>
    </row>
    <row r="3" spans="1:5" ht="12.75">
      <c r="A3" s="5" t="s">
        <v>39</v>
      </c>
      <c r="D3" s="27"/>
      <c r="E3" s="27"/>
    </row>
    <row r="4" spans="1:5" ht="12.75" customHeight="1">
      <c r="A4" s="160" t="s">
        <v>40</v>
      </c>
      <c r="B4" s="161"/>
      <c r="C4" s="162"/>
      <c r="D4" s="27"/>
      <c r="E4" s="27"/>
    </row>
    <row r="5" spans="1:5" ht="27.75" customHeight="1">
      <c r="A5" s="165" t="s">
        <v>98</v>
      </c>
      <c r="B5" s="166"/>
      <c r="C5" s="167"/>
      <c r="D5" s="27"/>
      <c r="E5" s="27"/>
    </row>
    <row r="6" spans="1:5" ht="12.75">
      <c r="A6" s="17"/>
      <c r="B6" s="18" t="s">
        <v>32</v>
      </c>
      <c r="C6" s="19"/>
      <c r="D6" s="27"/>
      <c r="E6" s="27"/>
    </row>
    <row r="7" spans="1:5" ht="12.75">
      <c r="A7" s="17"/>
      <c r="B7" s="18" t="s">
        <v>33</v>
      </c>
      <c r="C7" s="14"/>
      <c r="D7" s="27"/>
      <c r="E7" s="27"/>
    </row>
    <row r="8" spans="1:5" ht="12.75">
      <c r="A8" s="17"/>
      <c r="B8" s="18" t="s">
        <v>37</v>
      </c>
      <c r="C8" s="14"/>
      <c r="D8" s="27"/>
      <c r="E8" s="27"/>
    </row>
    <row r="9" spans="1:5" ht="12.75">
      <c r="A9" s="163" t="s">
        <v>62</v>
      </c>
      <c r="B9" s="164"/>
      <c r="C9" s="37">
        <v>0.056</v>
      </c>
      <c r="D9" s="27"/>
      <c r="E9" s="27"/>
    </row>
    <row r="10" spans="1:5" s="2" customFormat="1" ht="12.75">
      <c r="A10" s="27"/>
      <c r="B10" s="27"/>
      <c r="C10" s="27"/>
      <c r="D10" s="27"/>
      <c r="E10" s="27"/>
    </row>
    <row r="11" spans="1:5" s="2" customFormat="1" ht="12.75">
      <c r="A11" s="27"/>
      <c r="B11" s="27"/>
      <c r="C11" s="27"/>
      <c r="D11" s="27"/>
      <c r="E11" s="27"/>
    </row>
    <row r="12" s="2" customFormat="1" ht="12.75">
      <c r="B12" s="2" t="s">
        <v>47</v>
      </c>
    </row>
    <row r="13" s="2" customFormat="1" ht="12.75">
      <c r="H13" s="2" t="s">
        <v>44</v>
      </c>
    </row>
    <row r="14" spans="1:13" ht="12.75">
      <c r="A14" s="2"/>
      <c r="B14" s="2"/>
      <c r="C14" s="2"/>
      <c r="M14" s="1" t="s">
        <v>45</v>
      </c>
    </row>
  </sheetData>
  <sheetProtection password="C10A" sheet="1"/>
  <mergeCells count="3">
    <mergeCell ref="A4:C4"/>
    <mergeCell ref="A9:B9"/>
    <mergeCell ref="A5:C5"/>
  </mergeCells>
  <dataValidations count="1">
    <dataValidation allowBlank="1" showInputMessage="1" showErrorMessage="1" prompt="Program Support Percentage" sqref="C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A1" sqref="A1"/>
    </sheetView>
  </sheetViews>
  <sheetFormatPr defaultColWidth="9.140625" defaultRowHeight="12.75"/>
  <cols>
    <col min="1" max="1" width="3.00390625" style="1" customWidth="1"/>
    <col min="2" max="2" width="40.140625" style="1" bestFit="1" customWidth="1"/>
    <col min="3" max="3" width="24.57421875" style="1" customWidth="1"/>
    <col min="4" max="16384" width="9.140625" style="1" customWidth="1"/>
  </cols>
  <sheetData>
    <row r="1" spans="1:5" ht="15">
      <c r="A1" s="87" t="s">
        <v>30</v>
      </c>
      <c r="B1" s="87"/>
      <c r="C1" s="87"/>
      <c r="D1" s="27"/>
      <c r="E1" s="27"/>
    </row>
    <row r="2" spans="1:5" ht="12.75">
      <c r="A2" s="27"/>
      <c r="B2" s="27"/>
      <c r="C2" s="27"/>
      <c r="D2" s="27"/>
      <c r="E2" s="27"/>
    </row>
    <row r="3" spans="1:5" ht="12.75">
      <c r="A3" s="5" t="s">
        <v>21</v>
      </c>
      <c r="D3" s="27"/>
      <c r="E3" s="27"/>
    </row>
    <row r="4" spans="1:5" ht="12.75">
      <c r="A4" s="173" t="s">
        <v>42</v>
      </c>
      <c r="B4" s="174"/>
      <c r="C4" s="20" t="s">
        <v>20</v>
      </c>
      <c r="D4" s="27"/>
      <c r="E4" s="27"/>
    </row>
    <row r="5" spans="1:5" ht="12.75">
      <c r="A5" s="168" t="s">
        <v>27</v>
      </c>
      <c r="B5" s="169"/>
      <c r="C5" s="170">
        <v>0.1156</v>
      </c>
      <c r="D5" s="27"/>
      <c r="E5" s="27"/>
    </row>
    <row r="6" spans="1:5" ht="12.75">
      <c r="A6" s="10"/>
      <c r="B6" s="175" t="s">
        <v>28</v>
      </c>
      <c r="C6" s="171"/>
      <c r="D6" s="27"/>
      <c r="E6" s="27"/>
    </row>
    <row r="7" spans="1:5" ht="12.75">
      <c r="A7" s="11"/>
      <c r="B7" s="176"/>
      <c r="C7" s="172"/>
      <c r="D7" s="27"/>
      <c r="E7" s="27"/>
    </row>
    <row r="8" spans="1:5" ht="12.75">
      <c r="A8" s="168" t="s">
        <v>26</v>
      </c>
      <c r="B8" s="169"/>
      <c r="C8" s="170">
        <v>0.1204</v>
      </c>
      <c r="D8" s="27"/>
      <c r="E8" s="27"/>
    </row>
    <row r="9" spans="1:5" ht="12.75">
      <c r="A9" s="10"/>
      <c r="B9" s="2" t="s">
        <v>2</v>
      </c>
      <c r="C9" s="171"/>
      <c r="D9" s="27"/>
      <c r="E9" s="27"/>
    </row>
    <row r="10" spans="1:5" ht="12.75">
      <c r="A10" s="10"/>
      <c r="B10" s="2" t="s">
        <v>68</v>
      </c>
      <c r="C10" s="171"/>
      <c r="D10" s="27"/>
      <c r="E10" s="27"/>
    </row>
    <row r="11" spans="1:5" ht="12.75">
      <c r="A11" s="10"/>
      <c r="B11" s="2" t="s">
        <v>3</v>
      </c>
      <c r="C11" s="171"/>
      <c r="D11" s="27"/>
      <c r="E11" s="27"/>
    </row>
    <row r="12" spans="1:5" ht="12.75">
      <c r="A12" s="10"/>
      <c r="B12" s="2" t="s">
        <v>4</v>
      </c>
      <c r="C12" s="171"/>
      <c r="D12" s="27"/>
      <c r="E12" s="27"/>
    </row>
    <row r="13" spans="1:5" ht="12.75">
      <c r="A13" s="10"/>
      <c r="B13" s="2" t="s">
        <v>6</v>
      </c>
      <c r="C13" s="171"/>
      <c r="D13" s="27"/>
      <c r="E13" s="27"/>
    </row>
    <row r="14" spans="1:5" ht="12.75">
      <c r="A14" s="10"/>
      <c r="B14" s="2" t="s">
        <v>5</v>
      </c>
      <c r="C14" s="171"/>
      <c r="D14" s="27"/>
      <c r="E14" s="27"/>
    </row>
    <row r="15" spans="1:5" ht="12.75">
      <c r="A15" s="10"/>
      <c r="B15" s="2" t="s">
        <v>7</v>
      </c>
      <c r="C15" s="171"/>
      <c r="D15" s="27"/>
      <c r="E15" s="27"/>
    </row>
    <row r="16" spans="1:5" ht="12.75">
      <c r="A16" s="10"/>
      <c r="B16" s="2" t="s">
        <v>8</v>
      </c>
      <c r="C16" s="171"/>
      <c r="D16" s="27"/>
      <c r="E16" s="27"/>
    </row>
    <row r="17" spans="1:5" ht="12.75">
      <c r="A17" s="10"/>
      <c r="B17" s="2" t="s">
        <v>25</v>
      </c>
      <c r="C17" s="171"/>
      <c r="D17" s="27"/>
      <c r="E17" s="27"/>
    </row>
    <row r="18" spans="1:5" ht="11.25" customHeight="1">
      <c r="A18" s="11"/>
      <c r="B18" s="12"/>
      <c r="C18" s="172"/>
      <c r="D18" s="27"/>
      <c r="E18" s="27"/>
    </row>
    <row r="19" spans="1:5" ht="12.75">
      <c r="A19" s="163" t="s">
        <v>80</v>
      </c>
      <c r="B19" s="164"/>
      <c r="C19" s="38">
        <f>SUM(C5:C18)</f>
        <v>0.236</v>
      </c>
      <c r="D19" s="27"/>
      <c r="E19" s="27"/>
    </row>
    <row r="20" spans="1:5" ht="12.75">
      <c r="A20" s="27"/>
      <c r="B20" s="27"/>
      <c r="C20" s="27"/>
      <c r="D20" s="27"/>
      <c r="E20" s="27"/>
    </row>
    <row r="21" spans="1:5" ht="12.75">
      <c r="A21" s="1" t="s">
        <v>41</v>
      </c>
      <c r="C21" s="27"/>
      <c r="D21" s="27"/>
      <c r="E21" s="27"/>
    </row>
    <row r="22" spans="1:5" ht="12.75">
      <c r="A22" s="27"/>
      <c r="B22" s="27"/>
      <c r="C22" s="27"/>
      <c r="D22" s="27"/>
      <c r="E22" s="27"/>
    </row>
    <row r="23" spans="1:5" ht="12.75">
      <c r="A23" s="27"/>
      <c r="B23" s="27"/>
      <c r="C23" s="27"/>
      <c r="D23" s="27"/>
      <c r="E23" s="27"/>
    </row>
  </sheetData>
  <sheetProtection password="C04A" sheet="1"/>
  <mergeCells count="7">
    <mergeCell ref="A19:B19"/>
    <mergeCell ref="A8:B8"/>
    <mergeCell ref="C8:C18"/>
    <mergeCell ref="A4:B4"/>
    <mergeCell ref="A5:B5"/>
    <mergeCell ref="C5:C7"/>
    <mergeCell ref="B6:B7"/>
  </mergeCells>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11"/>
  <sheetViews>
    <sheetView zoomScale="125" zoomScaleNormal="125" zoomScalePageLayoutView="0" workbookViewId="0" topLeftCell="A1">
      <selection activeCell="C9" sqref="C9"/>
    </sheetView>
  </sheetViews>
  <sheetFormatPr defaultColWidth="9.140625" defaultRowHeight="12.75"/>
  <cols>
    <col min="1" max="1" width="40.8515625" style="1" customWidth="1"/>
    <col min="2" max="2" width="20.421875" style="1" customWidth="1"/>
    <col min="3" max="3" width="18.140625" style="1" customWidth="1"/>
    <col min="4" max="16384" width="9.140625" style="1" customWidth="1"/>
  </cols>
  <sheetData>
    <row r="1" spans="1:5" ht="15">
      <c r="A1" s="87" t="s">
        <v>34</v>
      </c>
      <c r="B1" s="87"/>
      <c r="C1" s="27"/>
      <c r="D1" s="27"/>
      <c r="E1" s="27"/>
    </row>
    <row r="2" spans="1:5" ht="12.75">
      <c r="A2" s="27"/>
      <c r="B2" s="27"/>
      <c r="C2" s="27"/>
      <c r="D2" s="27"/>
      <c r="E2" s="27"/>
    </row>
    <row r="3" spans="1:5" ht="12.75">
      <c r="A3" s="5" t="s">
        <v>43</v>
      </c>
      <c r="C3" s="27"/>
      <c r="D3" s="27"/>
      <c r="E3" s="27"/>
    </row>
    <row r="4" spans="1:5" ht="12.75">
      <c r="A4" s="173" t="s">
        <v>19</v>
      </c>
      <c r="B4" s="174"/>
      <c r="C4" s="20" t="s">
        <v>36</v>
      </c>
      <c r="D4" s="27"/>
      <c r="E4" s="27"/>
    </row>
    <row r="5" spans="1:5" ht="126.75" customHeight="1">
      <c r="A5" s="179" t="s">
        <v>71</v>
      </c>
      <c r="B5" s="178"/>
      <c r="C5" s="120">
        <v>0.1037</v>
      </c>
      <c r="D5" s="27"/>
      <c r="E5" s="27"/>
    </row>
    <row r="6" spans="1:5" ht="12.75">
      <c r="A6" s="27"/>
      <c r="B6" s="27"/>
      <c r="C6" s="27"/>
      <c r="D6" s="27"/>
      <c r="E6" s="27"/>
    </row>
    <row r="7" spans="1:5" ht="12.75">
      <c r="A7" s="5" t="s">
        <v>70</v>
      </c>
      <c r="C7" s="27"/>
      <c r="D7" s="27"/>
      <c r="E7" s="27"/>
    </row>
    <row r="8" spans="1:5" ht="12.75">
      <c r="A8" s="173" t="s">
        <v>50</v>
      </c>
      <c r="B8" s="174"/>
      <c r="C8" s="20" t="s">
        <v>49</v>
      </c>
      <c r="D8" s="27"/>
      <c r="E8" s="27"/>
    </row>
    <row r="9" spans="1:5" ht="12.75">
      <c r="A9" s="177" t="s">
        <v>51</v>
      </c>
      <c r="B9" s="178"/>
      <c r="C9" s="120">
        <f>C5</f>
        <v>0.1037</v>
      </c>
      <c r="D9" s="27"/>
      <c r="E9" s="27"/>
    </row>
    <row r="10" spans="1:5" ht="12.75">
      <c r="A10" s="27"/>
      <c r="B10" s="27"/>
      <c r="C10" s="27"/>
      <c r="D10" s="27"/>
      <c r="E10" s="27"/>
    </row>
    <row r="11" spans="1:5" ht="12.75">
      <c r="A11" s="27"/>
      <c r="B11" s="27"/>
      <c r="C11" s="27"/>
      <c r="D11" s="27"/>
      <c r="E11" s="27"/>
    </row>
  </sheetData>
  <sheetProtection password="C10A" sheet="1"/>
  <mergeCells count="4">
    <mergeCell ref="A8:B8"/>
    <mergeCell ref="A9:B9"/>
    <mergeCell ref="A4:B4"/>
    <mergeCell ref="A5:B5"/>
  </mergeCells>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rintOptions/>
  <pageMargins left="0.75" right="0.75" top="1.37" bottom="1" header="0.5" footer="0.5"/>
  <pageSetup fitToHeight="1" fitToWidth="1" horizontalDpi="600" verticalDpi="600" orientation="portrait" scale="90" r:id="rId2"/>
  <headerFooter alignWithMargins="0">
    <oddHeader>&amp;C&amp;G</oddHeader>
    <oddFooter>&amp;LDWRS Draft framework for Adult Day Care Services-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B5" sqref="B5"/>
    </sheetView>
  </sheetViews>
  <sheetFormatPr defaultColWidth="9.140625" defaultRowHeight="12.75"/>
  <cols>
    <col min="1" max="1" width="10.7109375" style="1" customWidth="1"/>
    <col min="2" max="2" width="15.57421875" style="1" customWidth="1"/>
    <col min="3" max="3" width="15.7109375" style="1" customWidth="1"/>
    <col min="4" max="16384" width="9.140625" style="1" customWidth="1"/>
  </cols>
  <sheetData>
    <row r="1" spans="1:6" ht="15">
      <c r="A1" s="87" t="s">
        <v>46</v>
      </c>
      <c r="B1" s="87"/>
      <c r="C1" s="87"/>
      <c r="D1" s="27"/>
      <c r="E1" s="27"/>
      <c r="F1" s="27"/>
    </row>
    <row r="2" spans="1:6" ht="12.75">
      <c r="A2" s="27"/>
      <c r="B2" s="27"/>
      <c r="C2" s="27"/>
      <c r="D2" s="27"/>
      <c r="E2" s="27"/>
      <c r="F2" s="27"/>
    </row>
    <row r="3" spans="1:6" ht="13.5" thickBot="1">
      <c r="A3" s="5" t="s">
        <v>52</v>
      </c>
      <c r="E3" s="27"/>
      <c r="F3" s="27"/>
    </row>
    <row r="4" spans="1:6" ht="26.25">
      <c r="A4" s="24" t="s">
        <v>53</v>
      </c>
      <c r="B4" s="54" t="s">
        <v>92</v>
      </c>
      <c r="C4" s="54" t="s">
        <v>93</v>
      </c>
      <c r="D4" s="27"/>
      <c r="E4" s="27"/>
      <c r="F4" s="27"/>
    </row>
    <row r="5" spans="1:6" ht="12.75">
      <c r="A5" s="25" t="str">
        <f>'Direct Staffing'!B10</f>
        <v>1:1</v>
      </c>
      <c r="B5" s="26">
        <f>ROUND(20.02/120,3)</f>
        <v>0.167</v>
      </c>
      <c r="C5" s="117">
        <f>ROUND(((1+1/(VLOOKUP(A5,'Direct Staffing'!H3:K12,2,FALSE)))*B5),3)</f>
        <v>0.334</v>
      </c>
      <c r="D5" s="27"/>
      <c r="E5" s="27"/>
      <c r="F5" s="27"/>
    </row>
    <row r="6" spans="1:6" ht="12.75">
      <c r="A6" s="27"/>
      <c r="B6" s="27"/>
      <c r="C6" s="27"/>
      <c r="D6" s="27"/>
      <c r="E6" s="27"/>
      <c r="F6" s="27"/>
    </row>
    <row r="7" spans="1:6" ht="12.75">
      <c r="A7" s="27"/>
      <c r="B7" s="27"/>
      <c r="C7" s="27"/>
      <c r="D7" s="27"/>
      <c r="E7" s="27"/>
      <c r="F7" s="27"/>
    </row>
  </sheetData>
  <sheetProtection password="C10A" sheet="1"/>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Unit formula is $20.02 divided by 120" sqref="B5"/>
    <dataValidation allowBlank="1" showInputMessage="1" showErrorMessage="1" prompt="Quarter Hourly Facility Cost formula is equal to Ratio Factor times Rate per Person per Unit" sqref="C5"/>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zoomScale="125" zoomScaleNormal="125" zoomScalePageLayoutView="0" workbookViewId="0" topLeftCell="A1">
      <selection activeCell="I8" sqref="I8"/>
    </sheetView>
  </sheetViews>
  <sheetFormatPr defaultColWidth="9.140625" defaultRowHeight="12.75"/>
  <cols>
    <col min="1" max="1" width="9.140625" style="1" customWidth="1"/>
    <col min="2" max="2" width="24.7109375" style="1" customWidth="1"/>
    <col min="3" max="3" width="10.140625" style="1" bestFit="1" customWidth="1"/>
    <col min="4" max="4" width="9.140625" style="1" customWidth="1"/>
    <col min="5" max="6" width="11.28125" style="1" customWidth="1"/>
    <col min="7" max="16384" width="9.140625" style="1" customWidth="1"/>
  </cols>
  <sheetData>
    <row r="1" spans="1:7" ht="15">
      <c r="A1" s="87" t="s">
        <v>72</v>
      </c>
      <c r="B1" s="87"/>
      <c r="C1" s="87"/>
      <c r="D1" s="27"/>
      <c r="E1" s="27"/>
      <c r="F1" s="27"/>
      <c r="G1" s="27"/>
    </row>
    <row r="2" spans="1:7" ht="12.75">
      <c r="A2" s="27"/>
      <c r="B2" s="27"/>
      <c r="C2" s="27"/>
      <c r="D2" s="27"/>
      <c r="E2" s="27"/>
      <c r="F2" s="27"/>
      <c r="G2" s="27"/>
    </row>
    <row r="3" spans="1:7" ht="12.75">
      <c r="A3" s="88" t="s">
        <v>73</v>
      </c>
      <c r="B3" s="88"/>
      <c r="C3" s="88"/>
      <c r="D3" s="88"/>
      <c r="E3" s="88"/>
      <c r="F3" s="88"/>
      <c r="G3" s="27"/>
    </row>
    <row r="4" spans="1:7" ht="12.75">
      <c r="A4" s="184" t="s">
        <v>10</v>
      </c>
      <c r="B4" s="184"/>
      <c r="C4" s="184"/>
      <c r="D4" s="184"/>
      <c r="E4" s="21" t="s">
        <v>22</v>
      </c>
      <c r="F4" s="27"/>
      <c r="G4" s="27"/>
    </row>
    <row r="5" spans="1:7" ht="12" customHeight="1">
      <c r="A5" s="185" t="s">
        <v>66</v>
      </c>
      <c r="B5" s="185"/>
      <c r="C5" s="185"/>
      <c r="D5" s="185"/>
      <c r="E5" s="39">
        <v>0.1325</v>
      </c>
      <c r="F5" s="27"/>
      <c r="G5" s="27"/>
    </row>
    <row r="6" spans="1:7" ht="12.75">
      <c r="A6" s="185" t="s">
        <v>67</v>
      </c>
      <c r="B6" s="185"/>
      <c r="C6" s="185"/>
      <c r="D6" s="185"/>
      <c r="E6" s="39">
        <v>0.018</v>
      </c>
      <c r="F6" s="27"/>
      <c r="G6" s="27"/>
    </row>
    <row r="7" spans="1:7" ht="12.75">
      <c r="A7" s="180" t="s">
        <v>74</v>
      </c>
      <c r="B7" s="181"/>
      <c r="C7" s="181"/>
      <c r="D7" s="182"/>
      <c r="E7" s="39">
        <v>0.094</v>
      </c>
      <c r="F7" s="27"/>
      <c r="G7" s="27"/>
    </row>
    <row r="8" spans="1:7" ht="12.75">
      <c r="A8" s="183" t="s">
        <v>75</v>
      </c>
      <c r="B8" s="183"/>
      <c r="C8" s="183"/>
      <c r="D8" s="183"/>
      <c r="E8" s="38">
        <f>SUM(E5:E7)</f>
        <v>0.2445</v>
      </c>
      <c r="F8" s="27"/>
      <c r="G8" s="27"/>
    </row>
    <row r="9" spans="1:7" ht="12.75">
      <c r="A9" s="27"/>
      <c r="B9" s="27"/>
      <c r="C9" s="27"/>
      <c r="D9" s="27"/>
      <c r="E9" s="27"/>
      <c r="F9" s="27"/>
      <c r="G9" s="27"/>
    </row>
    <row r="10" spans="3:7" ht="12.75">
      <c r="C10" s="27"/>
      <c r="D10" s="27"/>
      <c r="E10" s="27"/>
      <c r="F10" s="27"/>
      <c r="G10" s="27"/>
    </row>
    <row r="11" spans="1:7" ht="12.75">
      <c r="A11" s="27"/>
      <c r="B11" s="27"/>
      <c r="C11" s="27"/>
      <c r="D11" s="27"/>
      <c r="E11" s="27"/>
      <c r="F11" s="27"/>
      <c r="G11" s="27"/>
    </row>
    <row r="12" spans="1:7" ht="12.75">
      <c r="A12" s="27"/>
      <c r="B12" s="27"/>
      <c r="C12" s="27"/>
      <c r="D12" s="27"/>
      <c r="E12" s="27"/>
      <c r="F12" s="27"/>
      <c r="G12" s="27"/>
    </row>
  </sheetData>
  <sheetProtection password="C10A" sheet="1"/>
  <mergeCells count="5">
    <mergeCell ref="A7:D7"/>
    <mergeCell ref="A8:D8"/>
    <mergeCell ref="A4:D4"/>
    <mergeCell ref="A5:D5"/>
    <mergeCell ref="A6:D6"/>
  </mergeCells>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7.xml><?xml version="1.0" encoding="utf-8"?>
<worksheet xmlns="http://schemas.openxmlformats.org/spreadsheetml/2006/main" xmlns:r="http://schemas.openxmlformats.org/officeDocument/2006/relationships">
  <dimension ref="A3:F108"/>
  <sheetViews>
    <sheetView zoomScalePageLayoutView="0" workbookViewId="0" topLeftCell="A1">
      <selection activeCell="I111" sqref="I111"/>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94" bestFit="1" customWidth="1"/>
  </cols>
  <sheetData>
    <row r="3" spans="1:4" ht="12.75">
      <c r="A3" s="5" t="s">
        <v>227</v>
      </c>
      <c r="B3" s="59"/>
      <c r="C3" s="59"/>
      <c r="D3" s="59"/>
    </row>
    <row r="4" spans="1:4" ht="12.75">
      <c r="A4" s="46" t="s">
        <v>228</v>
      </c>
      <c r="B4" s="186" t="s">
        <v>235</v>
      </c>
      <c r="C4" s="187"/>
      <c r="D4" s="188"/>
    </row>
    <row r="5" spans="1:4" ht="12.75">
      <c r="A5" s="46" t="s">
        <v>124</v>
      </c>
      <c r="B5" s="189" t="str">
        <f>INDEX($C$10:$C$108,MATCH(B4:D4,B10:B108,0))</f>
        <v>Unspecified Region</v>
      </c>
      <c r="C5" s="190"/>
      <c r="D5" s="191"/>
    </row>
    <row r="7" spans="1:2" ht="12.75" hidden="1">
      <c r="A7" t="s">
        <v>214</v>
      </c>
      <c r="B7" t="str">
        <f>INDEX($D$10:$D$108,MATCH(B4:D4,B10:B108,0))</f>
        <v>-</v>
      </c>
    </row>
    <row r="8" ht="12.75" hidden="1"/>
    <row r="9" spans="2:6" ht="14.25" hidden="1">
      <c r="B9" s="91" t="s">
        <v>125</v>
      </c>
      <c r="C9" s="91" t="s">
        <v>126</v>
      </c>
      <c r="D9" s="95" t="s">
        <v>214</v>
      </c>
      <c r="F9"/>
    </row>
    <row r="10" spans="2:6" ht="14.25" hidden="1">
      <c r="B10" s="96" t="s">
        <v>235</v>
      </c>
      <c r="C10" s="96" t="s">
        <v>229</v>
      </c>
      <c r="D10" s="97" t="s">
        <v>231</v>
      </c>
      <c r="F10"/>
    </row>
    <row r="11" spans="2:6" ht="14.25" hidden="1">
      <c r="B11" s="92" t="s">
        <v>127</v>
      </c>
      <c r="C11" s="92" t="s">
        <v>215</v>
      </c>
      <c r="D11" s="102">
        <v>0.973</v>
      </c>
      <c r="F11"/>
    </row>
    <row r="12" spans="2:6" ht="14.25" hidden="1">
      <c r="B12" s="92" t="s">
        <v>128</v>
      </c>
      <c r="C12" s="92" t="s">
        <v>216</v>
      </c>
      <c r="D12" s="102">
        <v>1.013</v>
      </c>
      <c r="F12"/>
    </row>
    <row r="13" spans="2:6" ht="14.25" hidden="1">
      <c r="B13" s="92" t="s">
        <v>129</v>
      </c>
      <c r="C13" s="92" t="s">
        <v>217</v>
      </c>
      <c r="D13" s="102">
        <v>1.007</v>
      </c>
      <c r="F13"/>
    </row>
    <row r="14" spans="2:6" ht="14.25" hidden="1">
      <c r="B14" s="92" t="s">
        <v>130</v>
      </c>
      <c r="C14" s="92" t="s">
        <v>217</v>
      </c>
      <c r="D14" s="102">
        <v>1.007</v>
      </c>
      <c r="F14"/>
    </row>
    <row r="15" spans="2:6" ht="14.25" hidden="1">
      <c r="B15" s="92" t="s">
        <v>131</v>
      </c>
      <c r="C15" s="92" t="s">
        <v>218</v>
      </c>
      <c r="D15" s="102">
        <v>0.946</v>
      </c>
      <c r="F15"/>
    </row>
    <row r="16" spans="2:6" ht="14.25" hidden="1">
      <c r="B16" s="92" t="s">
        <v>132</v>
      </c>
      <c r="C16" s="93" t="s">
        <v>219</v>
      </c>
      <c r="D16" s="102">
        <v>0.979</v>
      </c>
      <c r="F16"/>
    </row>
    <row r="17" spans="2:6" ht="14.25" hidden="1">
      <c r="B17" s="92" t="s">
        <v>133</v>
      </c>
      <c r="C17" s="92" t="s">
        <v>220</v>
      </c>
      <c r="D17" s="102">
        <v>1.043</v>
      </c>
      <c r="F17"/>
    </row>
    <row r="18" spans="2:6" ht="14.25" hidden="1">
      <c r="B18" s="92" t="s">
        <v>134</v>
      </c>
      <c r="C18" s="93" t="s">
        <v>221</v>
      </c>
      <c r="D18" s="102">
        <v>0.95</v>
      </c>
      <c r="F18"/>
    </row>
    <row r="19" spans="2:6" ht="14.25" hidden="1">
      <c r="B19" s="92" t="s">
        <v>135</v>
      </c>
      <c r="C19" s="93" t="s">
        <v>222</v>
      </c>
      <c r="D19" s="102">
        <v>0.95</v>
      </c>
      <c r="F19"/>
    </row>
    <row r="20" spans="2:6" ht="14.25" hidden="1">
      <c r="B20" s="92" t="s">
        <v>136</v>
      </c>
      <c r="C20" s="92" t="s">
        <v>216</v>
      </c>
      <c r="D20" s="102">
        <v>1.013</v>
      </c>
      <c r="F20"/>
    </row>
    <row r="21" spans="2:6" ht="14.25" hidden="1">
      <c r="B21" s="92" t="s">
        <v>137</v>
      </c>
      <c r="C21" s="92" t="s">
        <v>217</v>
      </c>
      <c r="D21" s="102">
        <v>1.007</v>
      </c>
      <c r="F21"/>
    </row>
    <row r="22" spans="2:6" ht="14.25" hidden="1">
      <c r="B22" s="92" t="s">
        <v>138</v>
      </c>
      <c r="C22" s="93" t="s">
        <v>219</v>
      </c>
      <c r="D22" s="102">
        <v>0.979</v>
      </c>
      <c r="F22"/>
    </row>
    <row r="23" spans="2:6" ht="14.25" hidden="1">
      <c r="B23" s="92" t="s">
        <v>139</v>
      </c>
      <c r="C23" s="93" t="s">
        <v>216</v>
      </c>
      <c r="D23" s="102">
        <v>1.013</v>
      </c>
      <c r="F23"/>
    </row>
    <row r="24" spans="2:6" ht="14.25" hidden="1">
      <c r="B24" s="92" t="s">
        <v>140</v>
      </c>
      <c r="C24" s="93" t="s">
        <v>223</v>
      </c>
      <c r="D24" s="102">
        <v>0.991</v>
      </c>
      <c r="F24"/>
    </row>
    <row r="25" spans="2:6" ht="14.25" hidden="1">
      <c r="B25" s="92" t="s">
        <v>141</v>
      </c>
      <c r="C25" s="92" t="s">
        <v>217</v>
      </c>
      <c r="D25" s="102">
        <v>1.007</v>
      </c>
      <c r="F25"/>
    </row>
    <row r="26" spans="2:6" ht="14.25" hidden="1">
      <c r="B26" s="92" t="s">
        <v>142</v>
      </c>
      <c r="C26" s="93" t="s">
        <v>215</v>
      </c>
      <c r="D26" s="102">
        <v>0.973</v>
      </c>
      <c r="F26"/>
    </row>
    <row r="27" spans="2:6" ht="14.25" hidden="1">
      <c r="B27" s="92" t="s">
        <v>143</v>
      </c>
      <c r="C27" s="93" t="s">
        <v>219</v>
      </c>
      <c r="D27" s="102">
        <v>0.979</v>
      </c>
      <c r="F27"/>
    </row>
    <row r="28" spans="2:6" ht="14.25" hidden="1">
      <c r="B28" s="92" t="s">
        <v>144</v>
      </c>
      <c r="C28" s="92" t="s">
        <v>217</v>
      </c>
      <c r="D28" s="102">
        <v>1.007</v>
      </c>
      <c r="F28"/>
    </row>
    <row r="29" spans="2:6" ht="14.25" hidden="1">
      <c r="B29" s="92" t="s">
        <v>145</v>
      </c>
      <c r="C29" s="92" t="s">
        <v>216</v>
      </c>
      <c r="D29" s="102">
        <v>1.013</v>
      </c>
      <c r="F29"/>
    </row>
    <row r="30" spans="2:6" ht="14.25" hidden="1">
      <c r="B30" s="92" t="s">
        <v>146</v>
      </c>
      <c r="C30" s="93" t="s">
        <v>224</v>
      </c>
      <c r="D30" s="102">
        <v>1.047</v>
      </c>
      <c r="F30"/>
    </row>
    <row r="31" spans="2:6" ht="14.25" hidden="1">
      <c r="B31" s="92" t="s">
        <v>147</v>
      </c>
      <c r="C31" s="92" t="s">
        <v>217</v>
      </c>
      <c r="D31" s="102">
        <v>1.007</v>
      </c>
      <c r="F31"/>
    </row>
    <row r="32" spans="2:6" ht="14.25" hidden="1">
      <c r="B32" s="92" t="s">
        <v>148</v>
      </c>
      <c r="C32" s="93" t="s">
        <v>221</v>
      </c>
      <c r="D32" s="102">
        <v>0.95</v>
      </c>
      <c r="F32"/>
    </row>
    <row r="33" spans="2:6" ht="14.25" hidden="1">
      <c r="B33" s="92" t="s">
        <v>149</v>
      </c>
      <c r="C33" s="93" t="s">
        <v>224</v>
      </c>
      <c r="D33" s="102">
        <v>1.047</v>
      </c>
      <c r="F33"/>
    </row>
    <row r="34" spans="2:6" ht="14.25" hidden="1">
      <c r="B34" s="92" t="s">
        <v>150</v>
      </c>
      <c r="C34" s="93" t="s">
        <v>221</v>
      </c>
      <c r="D34" s="102">
        <v>0.95</v>
      </c>
      <c r="F34"/>
    </row>
    <row r="35" spans="2:6" ht="14.25" hidden="1">
      <c r="B35" s="92" t="s">
        <v>151</v>
      </c>
      <c r="C35" s="93" t="s">
        <v>221</v>
      </c>
      <c r="D35" s="102">
        <v>0.95</v>
      </c>
      <c r="F35"/>
    </row>
    <row r="36" spans="2:6" ht="14.25" hidden="1">
      <c r="B36" s="92" t="s">
        <v>152</v>
      </c>
      <c r="C36" s="92" t="s">
        <v>217</v>
      </c>
      <c r="D36" s="102">
        <v>1.007</v>
      </c>
      <c r="F36"/>
    </row>
    <row r="37" spans="2:6" ht="14.25" hidden="1">
      <c r="B37" s="92" t="s">
        <v>153</v>
      </c>
      <c r="C37" s="92" t="s">
        <v>216</v>
      </c>
      <c r="D37" s="102">
        <v>1.013</v>
      </c>
      <c r="F37"/>
    </row>
    <row r="38" spans="2:6" ht="14.25" hidden="1">
      <c r="B38" s="92" t="s">
        <v>154</v>
      </c>
      <c r="C38" s="93" t="s">
        <v>225</v>
      </c>
      <c r="D38" s="102">
        <v>1.034</v>
      </c>
      <c r="F38"/>
    </row>
    <row r="39" spans="2:6" ht="14.25" hidden="1">
      <c r="B39" s="92" t="s">
        <v>155</v>
      </c>
      <c r="C39" s="92" t="s">
        <v>217</v>
      </c>
      <c r="D39" s="102">
        <v>1.007</v>
      </c>
      <c r="F39"/>
    </row>
    <row r="40" spans="2:6" ht="14.25" hidden="1">
      <c r="B40" s="92" t="s">
        <v>156</v>
      </c>
      <c r="C40" s="93" t="s">
        <v>216</v>
      </c>
      <c r="D40" s="102">
        <v>1.013</v>
      </c>
      <c r="F40"/>
    </row>
    <row r="41" spans="2:6" ht="14.25" hidden="1">
      <c r="B41" s="92" t="s">
        <v>157</v>
      </c>
      <c r="C41" s="93" t="s">
        <v>215</v>
      </c>
      <c r="D41" s="102">
        <v>0.973</v>
      </c>
      <c r="F41"/>
    </row>
    <row r="42" spans="2:6" ht="14.25" hidden="1">
      <c r="B42" s="92" t="s">
        <v>158</v>
      </c>
      <c r="C42" s="93" t="s">
        <v>219</v>
      </c>
      <c r="D42" s="102">
        <v>0.979</v>
      </c>
      <c r="F42"/>
    </row>
    <row r="43" spans="2:6" ht="14.25" hidden="1">
      <c r="B43" s="92" t="s">
        <v>159</v>
      </c>
      <c r="C43" s="93" t="s">
        <v>215</v>
      </c>
      <c r="D43" s="102">
        <v>0.973</v>
      </c>
      <c r="F43"/>
    </row>
    <row r="44" spans="2:6" ht="14.25" hidden="1">
      <c r="B44" s="92" t="s">
        <v>160</v>
      </c>
      <c r="C44" s="93" t="s">
        <v>219</v>
      </c>
      <c r="D44" s="102">
        <v>0.979</v>
      </c>
      <c r="F44"/>
    </row>
    <row r="45" spans="2:6" ht="14.25" hidden="1">
      <c r="B45" s="92" t="s">
        <v>161</v>
      </c>
      <c r="C45" s="92" t="s">
        <v>217</v>
      </c>
      <c r="D45" s="102">
        <v>1.007</v>
      </c>
      <c r="F45"/>
    </row>
    <row r="46" spans="2:6" ht="14.25" hidden="1">
      <c r="B46" s="92" t="s">
        <v>162</v>
      </c>
      <c r="C46" s="93" t="s">
        <v>215</v>
      </c>
      <c r="D46" s="102">
        <v>0.973</v>
      </c>
      <c r="F46"/>
    </row>
    <row r="47" spans="2:6" ht="14.25" hidden="1">
      <c r="B47" s="92" t="s">
        <v>163</v>
      </c>
      <c r="C47" s="93" t="s">
        <v>219</v>
      </c>
      <c r="D47" s="102">
        <v>0.979</v>
      </c>
      <c r="F47"/>
    </row>
    <row r="48" spans="2:6" ht="14.25" hidden="1">
      <c r="B48" s="92" t="s">
        <v>164</v>
      </c>
      <c r="C48" s="93" t="s">
        <v>215</v>
      </c>
      <c r="D48" s="102">
        <v>0.973</v>
      </c>
      <c r="F48"/>
    </row>
    <row r="49" spans="2:6" ht="14.25" hidden="1">
      <c r="B49" s="92" t="s">
        <v>165</v>
      </c>
      <c r="C49" s="92" t="s">
        <v>217</v>
      </c>
      <c r="D49" s="102">
        <v>1.007</v>
      </c>
      <c r="F49"/>
    </row>
    <row r="50" spans="2:6" ht="14.25" hidden="1">
      <c r="B50" s="92" t="s">
        <v>166</v>
      </c>
      <c r="C50" s="93" t="s">
        <v>216</v>
      </c>
      <c r="D50" s="102">
        <v>1.013</v>
      </c>
      <c r="F50"/>
    </row>
    <row r="51" spans="2:6" ht="14.25" hidden="1">
      <c r="B51" s="92" t="s">
        <v>167</v>
      </c>
      <c r="C51" s="93" t="s">
        <v>219</v>
      </c>
      <c r="D51" s="102">
        <v>0.979</v>
      </c>
      <c r="F51"/>
    </row>
    <row r="52" spans="2:6" ht="14.25" hidden="1">
      <c r="B52" s="92" t="s">
        <v>168</v>
      </c>
      <c r="C52" s="93" t="s">
        <v>219</v>
      </c>
      <c r="D52" s="102">
        <v>0.979</v>
      </c>
      <c r="F52"/>
    </row>
    <row r="53" spans="2:6" ht="14.25" hidden="1">
      <c r="B53" s="92" t="s">
        <v>169</v>
      </c>
      <c r="C53" s="93" t="s">
        <v>219</v>
      </c>
      <c r="D53" s="102">
        <v>0.979</v>
      </c>
      <c r="F53"/>
    </row>
    <row r="54" spans="2:6" ht="14.25" hidden="1">
      <c r="B54" s="92" t="s">
        <v>170</v>
      </c>
      <c r="C54" s="92" t="s">
        <v>217</v>
      </c>
      <c r="D54" s="102">
        <v>1.007</v>
      </c>
      <c r="F54"/>
    </row>
    <row r="55" spans="2:6" ht="14.25" hidden="1">
      <c r="B55" s="92" t="s">
        <v>171</v>
      </c>
      <c r="C55" s="92" t="s">
        <v>217</v>
      </c>
      <c r="D55" s="102">
        <v>1.007</v>
      </c>
      <c r="F55"/>
    </row>
    <row r="56" spans="2:6" ht="14.25" hidden="1">
      <c r="B56" s="92" t="s">
        <v>172</v>
      </c>
      <c r="C56" s="93" t="s">
        <v>221</v>
      </c>
      <c r="D56" s="102">
        <v>0.95</v>
      </c>
      <c r="F56"/>
    </row>
    <row r="57" spans="2:6" ht="14.25" hidden="1">
      <c r="B57" s="92" t="s">
        <v>173</v>
      </c>
      <c r="C57" s="93" t="s">
        <v>219</v>
      </c>
      <c r="D57" s="102">
        <v>0.979</v>
      </c>
      <c r="F57"/>
    </row>
    <row r="58" spans="2:6" ht="14.25" hidden="1">
      <c r="B58" s="92" t="s">
        <v>174</v>
      </c>
      <c r="C58" s="93" t="s">
        <v>216</v>
      </c>
      <c r="D58" s="102">
        <v>1.013</v>
      </c>
      <c r="F58"/>
    </row>
    <row r="59" spans="2:6" ht="14.25" hidden="1">
      <c r="B59" s="92" t="s">
        <v>175</v>
      </c>
      <c r="C59" s="92" t="s">
        <v>217</v>
      </c>
      <c r="D59" s="102">
        <v>1.007</v>
      </c>
      <c r="F59"/>
    </row>
    <row r="60" spans="2:6" ht="14.25" hidden="1">
      <c r="B60" s="92" t="s">
        <v>176</v>
      </c>
      <c r="C60" s="93" t="s">
        <v>221</v>
      </c>
      <c r="D60" s="102">
        <v>0.95</v>
      </c>
      <c r="F60"/>
    </row>
    <row r="61" spans="2:6" ht="14.25" hidden="1">
      <c r="B61" s="92" t="s">
        <v>177</v>
      </c>
      <c r="C61" s="93" t="s">
        <v>219</v>
      </c>
      <c r="D61" s="102">
        <v>0.979</v>
      </c>
      <c r="F61"/>
    </row>
    <row r="62" spans="2:6" ht="14.25" hidden="1">
      <c r="B62" s="92" t="s">
        <v>178</v>
      </c>
      <c r="C62" s="93" t="s">
        <v>220</v>
      </c>
      <c r="D62" s="102">
        <v>1.043</v>
      </c>
      <c r="F62"/>
    </row>
    <row r="63" spans="2:6" ht="14.25" hidden="1">
      <c r="B63" s="92" t="s">
        <v>179</v>
      </c>
      <c r="C63" s="93" t="s">
        <v>219</v>
      </c>
      <c r="D63" s="102">
        <v>0.979</v>
      </c>
      <c r="F63"/>
    </row>
    <row r="64" spans="2:6" ht="14.25" hidden="1">
      <c r="B64" s="92" t="s">
        <v>180</v>
      </c>
      <c r="C64" s="92" t="s">
        <v>217</v>
      </c>
      <c r="D64" s="102">
        <v>1.007</v>
      </c>
      <c r="F64"/>
    </row>
    <row r="65" spans="2:6" ht="14.25" hidden="1">
      <c r="B65" s="92" t="s">
        <v>181</v>
      </c>
      <c r="C65" s="93" t="s">
        <v>224</v>
      </c>
      <c r="D65" s="102">
        <v>1.047</v>
      </c>
      <c r="F65"/>
    </row>
    <row r="66" spans="2:6" ht="14.25" hidden="1">
      <c r="B66" s="92" t="s">
        <v>182</v>
      </c>
      <c r="C66" s="92" t="s">
        <v>217</v>
      </c>
      <c r="D66" s="102">
        <v>1.007</v>
      </c>
      <c r="F66"/>
    </row>
    <row r="67" spans="2:6" ht="14.25" hidden="1">
      <c r="B67" s="92" t="s">
        <v>183</v>
      </c>
      <c r="C67" s="92" t="s">
        <v>217</v>
      </c>
      <c r="D67" s="102">
        <v>1.007</v>
      </c>
      <c r="F67"/>
    </row>
    <row r="68" spans="2:6" ht="14.25" hidden="1">
      <c r="B68" s="92" t="s">
        <v>184</v>
      </c>
      <c r="C68" s="93" t="s">
        <v>215</v>
      </c>
      <c r="D68" s="102">
        <v>0.973</v>
      </c>
      <c r="F68"/>
    </row>
    <row r="69" spans="2:6" ht="14.25" hidden="1">
      <c r="B69" s="92" t="s">
        <v>185</v>
      </c>
      <c r="C69" s="93" t="s">
        <v>219</v>
      </c>
      <c r="D69" s="102">
        <v>0.979</v>
      </c>
      <c r="F69"/>
    </row>
    <row r="70" spans="2:6" ht="14.25" hidden="1">
      <c r="B70" s="92" t="s">
        <v>186</v>
      </c>
      <c r="C70" s="93" t="s">
        <v>226</v>
      </c>
      <c r="D70" s="102">
        <v>0.991</v>
      </c>
      <c r="F70"/>
    </row>
    <row r="71" spans="2:6" ht="14.25" hidden="1">
      <c r="B71" s="92" t="s">
        <v>187</v>
      </c>
      <c r="C71" s="92" t="s">
        <v>217</v>
      </c>
      <c r="D71" s="102">
        <v>1.007</v>
      </c>
      <c r="F71"/>
    </row>
    <row r="72" spans="2:6" ht="14.25" hidden="1">
      <c r="B72" s="92" t="s">
        <v>188</v>
      </c>
      <c r="C72" s="92" t="s">
        <v>216</v>
      </c>
      <c r="D72" s="102">
        <v>1.013</v>
      </c>
      <c r="F72"/>
    </row>
    <row r="73" spans="2:6" ht="14.25" hidden="1">
      <c r="B73" s="92" t="s">
        <v>189</v>
      </c>
      <c r="C73" s="92" t="s">
        <v>217</v>
      </c>
      <c r="D73" s="102">
        <v>1.007</v>
      </c>
      <c r="F73"/>
    </row>
    <row r="74" spans="2:6" ht="14.25" hidden="1">
      <c r="B74" s="92" t="s">
        <v>190</v>
      </c>
      <c r="C74" s="93" t="s">
        <v>219</v>
      </c>
      <c r="D74" s="102">
        <v>0.979</v>
      </c>
      <c r="F74"/>
    </row>
    <row r="75" spans="2:6" ht="14.25" hidden="1">
      <c r="B75" s="92" t="s">
        <v>191</v>
      </c>
      <c r="C75" s="93" t="s">
        <v>219</v>
      </c>
      <c r="D75" s="102">
        <v>0.979</v>
      </c>
      <c r="F75"/>
    </row>
    <row r="76" spans="2:6" ht="14.25" hidden="1">
      <c r="B76" s="92" t="s">
        <v>192</v>
      </c>
      <c r="C76" s="93" t="s">
        <v>221</v>
      </c>
      <c r="D76" s="102">
        <v>0.95</v>
      </c>
      <c r="F76"/>
    </row>
    <row r="77" spans="2:6" ht="14.25" hidden="1">
      <c r="B77" s="92" t="s">
        <v>193</v>
      </c>
      <c r="C77" s="93" t="s">
        <v>219</v>
      </c>
      <c r="D77" s="102">
        <v>0.979</v>
      </c>
      <c r="F77"/>
    </row>
    <row r="78" spans="2:6" ht="14.25" hidden="1">
      <c r="B78" s="92" t="s">
        <v>194</v>
      </c>
      <c r="C78" s="92" t="s">
        <v>217</v>
      </c>
      <c r="D78" s="102">
        <v>1.007</v>
      </c>
      <c r="F78"/>
    </row>
    <row r="79" spans="2:6" ht="14.25" hidden="1">
      <c r="B79" s="92" t="s">
        <v>195</v>
      </c>
      <c r="C79" s="93" t="s">
        <v>222</v>
      </c>
      <c r="D79" s="102">
        <v>0.95</v>
      </c>
      <c r="F79"/>
    </row>
    <row r="80" spans="2:6" ht="14.25" hidden="1">
      <c r="B80" s="92" t="s">
        <v>196</v>
      </c>
      <c r="C80" s="92" t="s">
        <v>216</v>
      </c>
      <c r="D80" s="102">
        <v>1.013</v>
      </c>
      <c r="F80"/>
    </row>
    <row r="81" spans="2:6" ht="14.25" hidden="1">
      <c r="B81" s="92" t="s">
        <v>197</v>
      </c>
      <c r="C81" s="93" t="s">
        <v>216</v>
      </c>
      <c r="D81" s="102">
        <v>1.013</v>
      </c>
      <c r="F81"/>
    </row>
    <row r="82" spans="2:6" ht="14.25" hidden="1">
      <c r="B82" s="92" t="s">
        <v>198</v>
      </c>
      <c r="C82" s="93" t="s">
        <v>216</v>
      </c>
      <c r="D82" s="102">
        <v>1.013</v>
      </c>
      <c r="F82"/>
    </row>
    <row r="83" spans="2:6" ht="14.25" hidden="1">
      <c r="B83" s="92" t="s">
        <v>199</v>
      </c>
      <c r="C83" s="93" t="s">
        <v>218</v>
      </c>
      <c r="D83" s="102">
        <v>0.946</v>
      </c>
      <c r="F83"/>
    </row>
    <row r="84" spans="2:6" ht="14.25" hidden="1">
      <c r="B84" s="92" t="s">
        <v>200</v>
      </c>
      <c r="C84" s="93" t="s">
        <v>221</v>
      </c>
      <c r="D84" s="102">
        <v>0.95</v>
      </c>
      <c r="F84"/>
    </row>
    <row r="85" spans="2:6" ht="14.25" hidden="1">
      <c r="B85" s="92" t="s">
        <v>201</v>
      </c>
      <c r="C85" s="92" t="s">
        <v>217</v>
      </c>
      <c r="D85" s="102">
        <v>1.007</v>
      </c>
      <c r="F85"/>
    </row>
    <row r="86" spans="2:6" ht="14.25" hidden="1">
      <c r="B86" s="92" t="s">
        <v>202</v>
      </c>
      <c r="C86" s="93" t="s">
        <v>219</v>
      </c>
      <c r="D86" s="102">
        <v>0.979</v>
      </c>
      <c r="F86"/>
    </row>
    <row r="87" spans="2:6" ht="14.25" hidden="1">
      <c r="B87" s="92" t="s">
        <v>203</v>
      </c>
      <c r="C87" s="92" t="s">
        <v>217</v>
      </c>
      <c r="D87" s="102">
        <v>1.007</v>
      </c>
      <c r="F87"/>
    </row>
    <row r="88" spans="2:6" ht="14.25" hidden="1">
      <c r="B88" s="92" t="s">
        <v>204</v>
      </c>
      <c r="C88" s="92" t="s">
        <v>217</v>
      </c>
      <c r="D88" s="102">
        <v>1.007</v>
      </c>
      <c r="F88"/>
    </row>
    <row r="89" spans="2:6" ht="14.25" hidden="1">
      <c r="B89" s="92" t="s">
        <v>205</v>
      </c>
      <c r="C89" s="93" t="s">
        <v>224</v>
      </c>
      <c r="D89" s="102">
        <v>1.047</v>
      </c>
      <c r="F89"/>
    </row>
    <row r="90" spans="2:6" ht="14.25" hidden="1">
      <c r="B90" s="92" t="s">
        <v>206</v>
      </c>
      <c r="C90" s="92" t="s">
        <v>217</v>
      </c>
      <c r="D90" s="102">
        <v>1.007</v>
      </c>
      <c r="F90"/>
    </row>
    <row r="91" spans="2:6" ht="14.25" hidden="1">
      <c r="B91" s="92" t="s">
        <v>207</v>
      </c>
      <c r="C91" s="93" t="s">
        <v>221</v>
      </c>
      <c r="D91" s="102">
        <v>0.95</v>
      </c>
      <c r="F91"/>
    </row>
    <row r="92" spans="2:6" ht="14.25" hidden="1">
      <c r="B92" s="92" t="s">
        <v>208</v>
      </c>
      <c r="C92" s="92" t="s">
        <v>216</v>
      </c>
      <c r="D92" s="102">
        <v>1.013</v>
      </c>
      <c r="F92"/>
    </row>
    <row r="93" spans="2:6" ht="14.25" hidden="1">
      <c r="B93" s="92" t="s">
        <v>209</v>
      </c>
      <c r="C93" s="93" t="s">
        <v>221</v>
      </c>
      <c r="D93" s="102">
        <v>0.95</v>
      </c>
      <c r="F93"/>
    </row>
    <row r="94" spans="2:6" ht="14.25" hidden="1">
      <c r="B94" s="92" t="s">
        <v>210</v>
      </c>
      <c r="C94" s="92" t="s">
        <v>217</v>
      </c>
      <c r="D94" s="102">
        <v>1.007</v>
      </c>
      <c r="F94"/>
    </row>
    <row r="95" spans="2:6" ht="14.25" hidden="1">
      <c r="B95" s="92" t="s">
        <v>211</v>
      </c>
      <c r="C95" s="93" t="s">
        <v>221</v>
      </c>
      <c r="D95" s="102">
        <v>0.95</v>
      </c>
      <c r="F95"/>
    </row>
    <row r="96" spans="2:6" ht="14.25" hidden="1">
      <c r="B96" s="92" t="s">
        <v>212</v>
      </c>
      <c r="C96" s="93" t="s">
        <v>216</v>
      </c>
      <c r="D96" s="102">
        <v>1.013</v>
      </c>
      <c r="F96"/>
    </row>
    <row r="97" spans="2:6" ht="17.25" customHeight="1" hidden="1">
      <c r="B97" s="122" t="s">
        <v>213</v>
      </c>
      <c r="C97" s="123" t="s">
        <v>219</v>
      </c>
      <c r="D97" s="124">
        <v>0.979</v>
      </c>
      <c r="F97"/>
    </row>
    <row r="98" spans="2:4" ht="12.75" hidden="1">
      <c r="B98" s="125" t="s">
        <v>244</v>
      </c>
      <c r="C98" s="125" t="s">
        <v>217</v>
      </c>
      <c r="D98" s="126">
        <v>1.007</v>
      </c>
    </row>
    <row r="99" spans="2:4" ht="12.75" hidden="1">
      <c r="B99" s="125" t="s">
        <v>245</v>
      </c>
      <c r="C99" s="125" t="s">
        <v>217</v>
      </c>
      <c r="D99" s="126">
        <v>1.007</v>
      </c>
    </row>
    <row r="100" spans="2:4" ht="12.75" hidden="1">
      <c r="B100" s="125" t="s">
        <v>246</v>
      </c>
      <c r="C100" s="125" t="s">
        <v>219</v>
      </c>
      <c r="D100" s="126">
        <v>0.979</v>
      </c>
    </row>
    <row r="101" spans="2:4" ht="12.75" hidden="1">
      <c r="B101" s="125" t="s">
        <v>247</v>
      </c>
      <c r="C101" s="125" t="s">
        <v>216</v>
      </c>
      <c r="D101" s="126">
        <v>1.013</v>
      </c>
    </row>
    <row r="102" spans="2:4" ht="12.75" hidden="1">
      <c r="B102" s="125" t="s">
        <v>248</v>
      </c>
      <c r="C102" s="125" t="s">
        <v>219</v>
      </c>
      <c r="D102" s="126">
        <v>0.979</v>
      </c>
    </row>
    <row r="103" spans="2:4" ht="12.75" hidden="1">
      <c r="B103" s="125" t="s">
        <v>249</v>
      </c>
      <c r="C103" s="125" t="s">
        <v>216</v>
      </c>
      <c r="D103" s="126">
        <v>1.013</v>
      </c>
    </row>
    <row r="104" spans="2:4" ht="12.75" hidden="1">
      <c r="B104" s="125" t="s">
        <v>250</v>
      </c>
      <c r="C104" s="125" t="s">
        <v>215</v>
      </c>
      <c r="D104" s="125">
        <v>0.973</v>
      </c>
    </row>
    <row r="105" spans="2:4" ht="12.75" hidden="1">
      <c r="B105" s="125" t="s">
        <v>251</v>
      </c>
      <c r="C105" s="125" t="s">
        <v>222</v>
      </c>
      <c r="D105" s="126">
        <v>0.95</v>
      </c>
    </row>
    <row r="106" spans="2:4" ht="12.75" hidden="1">
      <c r="B106" s="125" t="s">
        <v>252</v>
      </c>
      <c r="C106" s="125" t="s">
        <v>217</v>
      </c>
      <c r="D106" s="125">
        <v>1.007</v>
      </c>
    </row>
    <row r="107" spans="2:4" ht="12.75" hidden="1">
      <c r="B107" s="125" t="s">
        <v>253</v>
      </c>
      <c r="C107" s="125" t="s">
        <v>215</v>
      </c>
      <c r="D107" s="125">
        <v>0.973</v>
      </c>
    </row>
    <row r="108" spans="2:4" ht="12.75" hidden="1">
      <c r="B108" s="125" t="s">
        <v>254</v>
      </c>
      <c r="C108" s="125" t="s">
        <v>221</v>
      </c>
      <c r="D108" s="126">
        <v>0.95</v>
      </c>
    </row>
    <row r="109" ht="12.75" hidden="1"/>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H48"/>
  <sheetViews>
    <sheetView zoomScale="125" zoomScaleNormal="125" zoomScalePageLayoutView="0" workbookViewId="0" topLeftCell="A1">
      <selection activeCell="E19" sqref="E19"/>
    </sheetView>
  </sheetViews>
  <sheetFormatPr defaultColWidth="9.140625" defaultRowHeight="12.75"/>
  <cols>
    <col min="1" max="1" width="37.8515625" style="29" customWidth="1"/>
    <col min="2" max="2" width="20.7109375" style="29" bestFit="1" customWidth="1"/>
    <col min="3" max="3" width="14.140625" style="107" customWidth="1"/>
    <col min="4" max="4" width="16.00390625" style="107" customWidth="1"/>
    <col min="5" max="5" width="14.140625" style="107" customWidth="1"/>
    <col min="6" max="6" width="11.28125" style="107" bestFit="1" customWidth="1"/>
    <col min="7" max="7" width="9.140625" style="107" customWidth="1"/>
    <col min="8" max="16384" width="9.140625" style="29" customWidth="1"/>
  </cols>
  <sheetData>
    <row r="1" spans="1:6" ht="15">
      <c r="A1" s="28" t="s">
        <v>63</v>
      </c>
      <c r="C1" s="106"/>
      <c r="D1" s="106"/>
      <c r="E1" s="106"/>
      <c r="F1" s="106"/>
    </row>
    <row r="2" spans="1:6" ht="12.75">
      <c r="A2" s="30"/>
      <c r="B2" s="30"/>
      <c r="E2" s="106"/>
      <c r="F2" s="106"/>
    </row>
    <row r="3" spans="1:6" ht="12.75">
      <c r="A3" s="31" t="s">
        <v>11</v>
      </c>
      <c r="B3" s="27"/>
      <c r="C3" s="106"/>
      <c r="D3" s="108" t="s">
        <v>79</v>
      </c>
      <c r="E3" s="106"/>
      <c r="F3" s="106"/>
    </row>
    <row r="4" spans="1:6" ht="12.75">
      <c r="A4" s="55" t="s">
        <v>94</v>
      </c>
      <c r="B4" s="33">
        <f>'Direct Staffing'!C34</f>
        <v>5.0357461525</v>
      </c>
      <c r="D4" s="109">
        <f>B4</f>
        <v>5.0357461525</v>
      </c>
      <c r="E4" s="106"/>
      <c r="F4" s="106"/>
    </row>
    <row r="5" spans="1:6" ht="12.75">
      <c r="A5" s="30"/>
      <c r="B5" s="30"/>
      <c r="E5" s="106"/>
      <c r="F5" s="106"/>
    </row>
    <row r="6" spans="1:6" ht="12.75">
      <c r="A6" s="31" t="s">
        <v>31</v>
      </c>
      <c r="B6" s="27"/>
      <c r="C6" s="106"/>
      <c r="D6" s="106"/>
      <c r="E6" s="106"/>
      <c r="F6" s="106"/>
    </row>
    <row r="7" spans="1:6" ht="12.75">
      <c r="A7" s="32" t="s">
        <v>64</v>
      </c>
      <c r="B7" s="40">
        <f>'Program Plan Support'!C9</f>
        <v>0.056</v>
      </c>
      <c r="D7" s="109">
        <f>ROUND(B7*D4,4)</f>
        <v>0.282</v>
      </c>
      <c r="E7" s="106"/>
      <c r="F7" s="106"/>
    </row>
    <row r="8" spans="1:6" ht="12.75">
      <c r="A8" s="30"/>
      <c r="B8" s="30"/>
      <c r="E8" s="106"/>
      <c r="F8" s="106"/>
    </row>
    <row r="9" spans="1:6" ht="12.75">
      <c r="A9" s="31" t="s">
        <v>1</v>
      </c>
      <c r="B9" s="27"/>
      <c r="C9" s="106"/>
      <c r="D9" s="106"/>
      <c r="E9" s="106"/>
      <c r="F9" s="106"/>
    </row>
    <row r="10" spans="1:6" ht="12.75">
      <c r="A10" s="32" t="s">
        <v>9</v>
      </c>
      <c r="B10" s="41">
        <f>'Emp. Related Exp.'!C19</f>
        <v>0.236</v>
      </c>
      <c r="C10" s="109"/>
      <c r="D10" s="109">
        <f>ROUND(B10*(D4+D7),4)</f>
        <v>1.255</v>
      </c>
      <c r="E10" s="106"/>
      <c r="F10" s="106"/>
    </row>
    <row r="11" spans="1:6" ht="16.5" customHeight="1">
      <c r="A11" s="30"/>
      <c r="B11" s="30"/>
      <c r="E11" s="106"/>
      <c r="F11" s="106"/>
    </row>
    <row r="12" spans="1:6" ht="12.75">
      <c r="A12" s="31" t="s">
        <v>34</v>
      </c>
      <c r="B12" s="27"/>
      <c r="C12" s="106"/>
      <c r="D12" s="106"/>
      <c r="E12" s="106"/>
      <c r="F12" s="106"/>
    </row>
    <row r="13" spans="1:6" ht="12.75">
      <c r="A13" s="34" t="s">
        <v>35</v>
      </c>
      <c r="B13" s="42">
        <f>'Client Programming &amp; Supports'!C9</f>
        <v>0.1037</v>
      </c>
      <c r="D13" s="110">
        <f>ROUND((D4+D7+D10)*B13,4)</f>
        <v>0.6816</v>
      </c>
      <c r="E13" s="106"/>
      <c r="F13" s="106"/>
    </row>
    <row r="14" spans="1:6" ht="12.75">
      <c r="A14" s="30"/>
      <c r="B14" s="30"/>
      <c r="E14" s="106"/>
      <c r="F14" s="106"/>
    </row>
    <row r="15" spans="1:6" ht="12.75">
      <c r="A15" s="31" t="s">
        <v>46</v>
      </c>
      <c r="B15" s="27"/>
      <c r="C15" s="106"/>
      <c r="D15" s="106"/>
      <c r="E15" s="106"/>
      <c r="F15" s="106"/>
    </row>
    <row r="16" spans="1:6" ht="12.75">
      <c r="A16" s="34" t="s">
        <v>65</v>
      </c>
      <c r="B16" s="35">
        <f>'Program Facility'!C5</f>
        <v>0.334</v>
      </c>
      <c r="D16" s="110">
        <f>B16</f>
        <v>0.334</v>
      </c>
      <c r="E16" s="106"/>
      <c r="F16" s="106"/>
    </row>
    <row r="17" spans="1:6" ht="12.75">
      <c r="A17" s="30"/>
      <c r="B17" s="30"/>
      <c r="E17" s="106"/>
      <c r="F17" s="106"/>
    </row>
    <row r="18" spans="1:6" ht="12.75">
      <c r="A18" s="31" t="s">
        <v>13</v>
      </c>
      <c r="B18" s="27"/>
      <c r="C18" s="106"/>
      <c r="D18" s="106"/>
      <c r="E18" s="106"/>
      <c r="F18" s="106"/>
    </row>
    <row r="19" spans="1:7" ht="12.75">
      <c r="A19" s="32" t="s">
        <v>12</v>
      </c>
      <c r="B19" s="43">
        <f>'Program Related Expenses'!E8</f>
        <v>0.2445</v>
      </c>
      <c r="C19" s="109"/>
      <c r="D19" s="109">
        <f>E19-(D4+D7+D10+D13+D16)</f>
        <v>2.4557538475000005</v>
      </c>
      <c r="E19" s="121">
        <f>ROUND((D4+D7+D10+D13+D16)/(1-B19),4)</f>
        <v>10.0441</v>
      </c>
      <c r="F19" s="106"/>
      <c r="G19" s="112"/>
    </row>
    <row r="20" spans="1:6" ht="12.75">
      <c r="A20" s="103"/>
      <c r="B20" s="104"/>
      <c r="C20" s="109"/>
      <c r="D20" s="109"/>
      <c r="E20" s="106"/>
      <c r="F20" s="106"/>
    </row>
    <row r="21" spans="1:6" ht="12.75">
      <c r="A21" s="31" t="s">
        <v>234</v>
      </c>
      <c r="B21" s="56"/>
      <c r="C21" s="109"/>
      <c r="D21" s="109"/>
      <c r="E21" s="106"/>
      <c r="F21" s="106"/>
    </row>
    <row r="22" spans="1:7" ht="12.75">
      <c r="A22" s="51" t="s">
        <v>230</v>
      </c>
      <c r="B22" s="113" t="str">
        <f>'Regional Variance Factor'!B7</f>
        <v>-</v>
      </c>
      <c r="D22" s="114" t="str">
        <f>IF((B22&lt;&gt;"-"),((E19*B22)-E19),"Select County")</f>
        <v>Select County</v>
      </c>
      <c r="E22" s="106"/>
      <c r="F22" s="106"/>
      <c r="G22" s="111"/>
    </row>
    <row r="23" spans="1:6" ht="12.75">
      <c r="A23" s="89"/>
      <c r="B23" s="105"/>
      <c r="E23" s="106"/>
      <c r="F23" s="106"/>
    </row>
    <row r="24" spans="1:6" ht="12.75">
      <c r="A24" s="36" t="s">
        <v>95</v>
      </c>
      <c r="B24" s="33" t="str">
        <f>D24</f>
        <v>Select County</v>
      </c>
      <c r="D24" s="110" t="str">
        <f>IF((B22&lt;&gt;"-"),E19+D22,"Select County")</f>
        <v>Select County</v>
      </c>
      <c r="E24" s="106"/>
      <c r="F24" s="106"/>
    </row>
    <row r="25" spans="1:8" ht="15" customHeight="1">
      <c r="A25" s="98"/>
      <c r="B25" s="99"/>
      <c r="D25" s="110"/>
      <c r="E25" s="106"/>
      <c r="F25" s="106"/>
      <c r="H25" s="100"/>
    </row>
    <row r="26" spans="1:8" s="132" customFormat="1" ht="12.75" hidden="1">
      <c r="A26" s="127" t="s">
        <v>84</v>
      </c>
      <c r="B26" s="128">
        <v>1</v>
      </c>
      <c r="C26" s="129"/>
      <c r="D26" s="129"/>
      <c r="E26" s="129"/>
      <c r="F26" s="129"/>
      <c r="G26" s="130"/>
      <c r="H26" s="131"/>
    </row>
    <row r="27" spans="1:8" s="132" customFormat="1" ht="12.75" hidden="1">
      <c r="A27" s="133" t="s">
        <v>97</v>
      </c>
      <c r="B27" s="134" t="str">
        <f>IF((B22&lt;&gt;"-"),G29,"-")</f>
        <v>-</v>
      </c>
      <c r="C27" s="129"/>
      <c r="D27" s="135"/>
      <c r="E27" s="129"/>
      <c r="F27" s="129"/>
      <c r="G27" s="136">
        <f>B26</f>
        <v>1</v>
      </c>
      <c r="H27" s="131"/>
    </row>
    <row r="28" spans="1:8" s="132" customFormat="1" ht="12.75" hidden="1">
      <c r="A28" s="137"/>
      <c r="B28" s="138"/>
      <c r="C28" s="129"/>
      <c r="D28" s="139"/>
      <c r="E28" s="140"/>
      <c r="F28" s="140"/>
      <c r="G28" s="130">
        <f>1-G27</f>
        <v>0</v>
      </c>
      <c r="H28" s="131"/>
    </row>
    <row r="29" spans="1:8" ht="12.75">
      <c r="A29" s="31" t="s">
        <v>255</v>
      </c>
      <c r="G29" s="115" t="e">
        <f>((B24+B22)*G27)-(B24+B22)</f>
        <v>#VALUE!</v>
      </c>
      <c r="H29" s="100"/>
    </row>
    <row r="30" spans="1:8" ht="12.75">
      <c r="A30" s="51" t="s">
        <v>111</v>
      </c>
      <c r="B30" s="35" t="str">
        <f>IF((B22&lt;&gt;"-"),B24+B27,"County")</f>
        <v>County</v>
      </c>
      <c r="H30" s="101"/>
    </row>
    <row r="32" spans="1:2" ht="12.75" hidden="1">
      <c r="A32" s="31" t="s">
        <v>109</v>
      </c>
      <c r="B32" s="56">
        <v>0.01</v>
      </c>
    </row>
    <row r="33" spans="1:2" ht="12.75" hidden="1">
      <c r="A33" s="51" t="s">
        <v>110</v>
      </c>
      <c r="B33" s="35" t="str">
        <f>IF((B22&lt;&gt;"-"),B32*B30,"-")</f>
        <v>-</v>
      </c>
    </row>
    <row r="34" ht="12.75" hidden="1"/>
    <row r="35" ht="12.75" hidden="1">
      <c r="A35" s="31" t="s">
        <v>116</v>
      </c>
    </row>
    <row r="36" spans="1:2" ht="12.75" hidden="1">
      <c r="A36" s="51" t="s">
        <v>112</v>
      </c>
      <c r="B36" s="35" t="str">
        <f>IF(B22&lt;&gt;"-",B33+B30,"-")</f>
        <v>-</v>
      </c>
    </row>
    <row r="37" ht="12.75" hidden="1"/>
    <row r="38" spans="1:2" ht="12.75" hidden="1">
      <c r="A38" s="31" t="s">
        <v>114</v>
      </c>
      <c r="B38" s="56">
        <v>0.05</v>
      </c>
    </row>
    <row r="39" spans="1:2" ht="12.75" hidden="1">
      <c r="A39" s="51" t="s">
        <v>110</v>
      </c>
      <c r="B39" s="35" t="str">
        <f>IF(B22&lt;&gt;"-",B38*B36,"-")</f>
        <v>-</v>
      </c>
    </row>
    <row r="40" ht="12.75" hidden="1"/>
    <row r="41" ht="12.75" hidden="1">
      <c r="A41" s="31" t="s">
        <v>115</v>
      </c>
    </row>
    <row r="42" spans="1:2" ht="12.75" hidden="1">
      <c r="A42" s="51" t="s">
        <v>112</v>
      </c>
      <c r="B42" s="35" t="str">
        <f>IF(B22&lt;&gt;"-",B39+B36,"-")</f>
        <v>-</v>
      </c>
    </row>
    <row r="43" ht="12.75" hidden="1"/>
    <row r="44" spans="1:2" ht="12.75" hidden="1">
      <c r="A44" s="31" t="s">
        <v>122</v>
      </c>
      <c r="B44" s="56">
        <v>0.01</v>
      </c>
    </row>
    <row r="45" spans="1:2" ht="12.75" hidden="1">
      <c r="A45" s="51" t="s">
        <v>110</v>
      </c>
      <c r="B45" s="35" t="str">
        <f>IF(B22&lt;&gt;"-",B44*B42,"-")</f>
        <v>-</v>
      </c>
    </row>
    <row r="46" ht="12.75" hidden="1"/>
    <row r="47" ht="12.75" hidden="1">
      <c r="A47" s="31" t="s">
        <v>123</v>
      </c>
    </row>
    <row r="48" spans="1:2" ht="12.75" hidden="1">
      <c r="A48" s="51" t="s">
        <v>112</v>
      </c>
      <c r="B48" s="35" t="str">
        <f>IF(B22&lt;&gt;"-",B45+B42,"Select County")</f>
        <v>Select County</v>
      </c>
    </row>
  </sheetData>
  <sheetProtection password="C10A" sheet="1"/>
  <dataValidations count="23">
    <dataValidation allowBlank="1" showInputMessage="1" showErrorMessage="1" prompt="Staffing Costs per Unit formula is equal Total Individual Staffing Amount from Direct Staffing sheet" sqref="B4"/>
    <dataValidation allowBlank="1" showInputMessage="1" showErrorMessage="1" prompt="Cost for Staffing per Unit Rate Calculation formula is equal to Staffing Cost per Unit"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Unit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Unit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Unit Rate plus Program Support Rate plus Employee Related Expense Rate) times Client Programming and Supports Standard" sqref="D13"/>
    <dataValidation allowBlank="1" showInputMessage="1" showErrorMessage="1" prompt="Program Facility Cost formula is equal to Quarter Hour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9:D21"/>
    <dataValidation allowBlank="1" showInputMessage="1" showErrorMessage="1" prompt="Unit Rate formula is equal to Total Unit Rate" sqref="B24:B25"/>
    <dataValidation allowBlank="1" showInputMessage="1" showErrorMessage="1" prompt="Unit Rate Calculation formula is equal to sum of (Staffing per Unit Rate plus Program Support Rate plus Employee Related Expense Rate plus Client Programming and Supports Rate plus Program Facility Rate) divided by(one minus G&amp;A Standard)" sqref="D24:D25 D28"/>
    <dataValidation allowBlank="1" showInputMessage="1" showErrorMessage="1" prompt="Budget Neutrality Rate" sqref="B26 B21"/>
    <dataValidation allowBlank="1" showInputMessage="1" showErrorMessage="1" prompt="Unit Budget Neutrality formula is Total Unit Rate minus Unit Rate" sqref="B27:B28"/>
    <dataValidation allowBlank="1" showInputMessage="1" showErrorMessage="1" prompt="Post COLA Rate formula is Original Rate plus Cost of Living Adjustment" sqref="B36 B42 B48"/>
    <dataValidation allowBlank="1" showInputMessage="1" showErrorMessage="1" prompt="4/1/2014 COLA Increase " sqref="B32 B38 B44"/>
    <dataValidation allowBlank="1" showInputMessage="1" showErrorMessage="1" prompt="Cost of Living Adjustment formula is Original Total Unit Rate multiplied by COLA" sqref="B45"/>
    <dataValidation allowBlank="1" showInputMessage="1" showErrorMessage="1" prompt="Total Unit Rate formula is Budget Neutrality Rate times Unit Rate " sqref="B30"/>
    <dataValidation allowBlank="1" showInputMessage="1" showErrorMessage="1" prompt="Unit Regional Variance formula is Unit Rate times Regional Variance Factor" sqref="B23"/>
    <dataValidation allowBlank="1" showInputMessage="1" showErrorMessage="1" prompt="Unit Regional Variance formula is Unit Rate multiplied by the appropriate Regional Variance Factor" sqref="B22"/>
    <dataValidation allowBlank="1" showInputMessage="1" showErrorMessage="1" prompt="Cost of Living Adjustment formula is Original Total Unit Rate multiplied by COLA" sqref="B33 B39"/>
  </dataValidations>
  <printOptions/>
  <pageMargins left="0.75" right="0.75" top="1.37" bottom="1" header="0.5" footer="0.5"/>
  <pageSetup fitToHeight="1" fitToWidth="1" horizontalDpi="600" verticalDpi="600" orientation="portrait" scale="79" r:id="rId2"/>
  <headerFooter alignWithMargins="0">
    <oddHeader>&amp;C&amp;G</oddHeader>
    <oddFooter>&amp;LDWRS Draft framework for Adult Day Care Services - &amp;A&amp;R&amp;P</oddFooter>
  </headerFooter>
  <legacyDrawingHF r:id="rId1"/>
</worksheet>
</file>

<file path=xl/worksheets/sheet9.xml><?xml version="1.0" encoding="utf-8"?>
<worksheet xmlns="http://schemas.openxmlformats.org/spreadsheetml/2006/main" xmlns:r="http://schemas.openxmlformats.org/officeDocument/2006/relationships">
  <dimension ref="A4:C28"/>
  <sheetViews>
    <sheetView zoomScalePageLayoutView="0" workbookViewId="0" topLeftCell="A1">
      <selection activeCell="A6" sqref="A6:IV20"/>
    </sheetView>
  </sheetViews>
  <sheetFormatPr defaultColWidth="9.140625" defaultRowHeight="12.75"/>
  <cols>
    <col min="2" max="2" width="51.421875" style="90" customWidth="1"/>
  </cols>
  <sheetData>
    <row r="3" ht="22.5" customHeight="1"/>
    <row r="4" spans="1:3" ht="12.75">
      <c r="A4" s="141"/>
      <c r="B4" s="142"/>
      <c r="C4" s="141"/>
    </row>
    <row r="5" spans="1:3" ht="12.75">
      <c r="A5" s="141"/>
      <c r="B5" s="142"/>
      <c r="C5" s="141"/>
    </row>
    <row r="6" spans="1:3" ht="12.75" hidden="1">
      <c r="A6" s="143">
        <v>41610</v>
      </c>
      <c r="B6" s="142" t="s">
        <v>105</v>
      </c>
      <c r="C6" s="141" t="s">
        <v>118</v>
      </c>
    </row>
    <row r="7" spans="1:3" ht="12.75" hidden="1">
      <c r="A7" s="143">
        <v>41684</v>
      </c>
      <c r="B7" s="142" t="s">
        <v>106</v>
      </c>
      <c r="C7" s="141" t="s">
        <v>118</v>
      </c>
    </row>
    <row r="8" spans="1:3" ht="26.25" hidden="1">
      <c r="A8" s="143">
        <v>41684</v>
      </c>
      <c r="B8" s="142" t="s">
        <v>107</v>
      </c>
      <c r="C8" s="141" t="s">
        <v>118</v>
      </c>
    </row>
    <row r="9" spans="1:3" ht="12.75" hidden="1">
      <c r="A9" s="143">
        <v>41709</v>
      </c>
      <c r="B9" s="142" t="s">
        <v>108</v>
      </c>
      <c r="C9" s="141" t="s">
        <v>119</v>
      </c>
    </row>
    <row r="10" spans="1:3" ht="12.75" hidden="1">
      <c r="A10" s="143">
        <v>41808</v>
      </c>
      <c r="B10" s="142" t="s">
        <v>113</v>
      </c>
      <c r="C10" s="141" t="s">
        <v>120</v>
      </c>
    </row>
    <row r="11" spans="1:3" ht="12.75" hidden="1">
      <c r="A11" s="143">
        <v>42164</v>
      </c>
      <c r="B11" s="142" t="s">
        <v>117</v>
      </c>
      <c r="C11" s="141" t="s">
        <v>121</v>
      </c>
    </row>
    <row r="12" spans="1:3" ht="12.75" hidden="1">
      <c r="A12" s="143">
        <v>42339</v>
      </c>
      <c r="B12" s="142" t="s">
        <v>232</v>
      </c>
      <c r="C12" s="141" t="s">
        <v>233</v>
      </c>
    </row>
    <row r="13" spans="1:3" ht="39" hidden="1">
      <c r="A13" s="143">
        <v>42522</v>
      </c>
      <c r="B13" s="142" t="s">
        <v>239</v>
      </c>
      <c r="C13" s="141" t="s">
        <v>236</v>
      </c>
    </row>
    <row r="14" spans="1:3" ht="12.75" hidden="1">
      <c r="A14" s="143">
        <v>42887</v>
      </c>
      <c r="B14" s="144" t="s">
        <v>240</v>
      </c>
      <c r="C14" s="145" t="s">
        <v>241</v>
      </c>
    </row>
    <row r="15" spans="1:3" ht="12.75" hidden="1">
      <c r="A15" s="143">
        <v>43101</v>
      </c>
      <c r="B15" s="142" t="s">
        <v>242</v>
      </c>
      <c r="C15" s="145" t="s">
        <v>243</v>
      </c>
    </row>
    <row r="16" spans="1:3" ht="12.75" hidden="1">
      <c r="A16" s="143">
        <v>43282</v>
      </c>
      <c r="B16" s="142" t="s">
        <v>256</v>
      </c>
      <c r="C16" s="145" t="s">
        <v>257</v>
      </c>
    </row>
    <row r="17" spans="1:3" ht="12.75" hidden="1">
      <c r="A17" s="143">
        <v>43282</v>
      </c>
      <c r="B17" s="144" t="s">
        <v>258</v>
      </c>
      <c r="C17" s="145" t="s">
        <v>257</v>
      </c>
    </row>
    <row r="18" spans="1:3" ht="26.25" hidden="1">
      <c r="A18" s="143">
        <v>43466</v>
      </c>
      <c r="B18" s="142" t="s">
        <v>260</v>
      </c>
      <c r="C18" s="145" t="s">
        <v>259</v>
      </c>
    </row>
    <row r="19" spans="1:3" ht="12.75" hidden="1">
      <c r="A19" s="143">
        <v>43831</v>
      </c>
      <c r="B19" s="145" t="s">
        <v>262</v>
      </c>
      <c r="C19" s="145" t="s">
        <v>261</v>
      </c>
    </row>
    <row r="20" spans="1:3" ht="12.75" hidden="1">
      <c r="A20" s="145" t="s">
        <v>275</v>
      </c>
      <c r="B20" s="144" t="s">
        <v>276</v>
      </c>
      <c r="C20" s="141" t="s">
        <v>263</v>
      </c>
    </row>
    <row r="21" spans="1:3" ht="12.75">
      <c r="A21" s="141"/>
      <c r="B21" s="142"/>
      <c r="C21" s="141"/>
    </row>
    <row r="22" spans="1:3" ht="12.75">
      <c r="A22" s="141"/>
      <c r="B22" s="142"/>
      <c r="C22" s="141"/>
    </row>
    <row r="23" spans="1:3" ht="12.75">
      <c r="A23" s="141"/>
      <c r="B23" s="142"/>
      <c r="C23" s="141"/>
    </row>
    <row r="24" spans="1:3" ht="12.75">
      <c r="A24" s="141"/>
      <c r="B24" s="142"/>
      <c r="C24" s="141"/>
    </row>
    <row r="25" spans="1:3" ht="12.75">
      <c r="A25" s="141"/>
      <c r="B25" s="142"/>
      <c r="C25" s="141"/>
    </row>
    <row r="26" spans="1:3" ht="12.75">
      <c r="A26" s="141"/>
      <c r="B26" s="142"/>
      <c r="C26" s="141"/>
    </row>
    <row r="27" spans="1:3" ht="12.75">
      <c r="A27" s="141"/>
      <c r="B27" s="142"/>
      <c r="C27" s="141"/>
    </row>
    <row r="28" spans="1:3" ht="12.75">
      <c r="A28" s="141"/>
      <c r="B28" s="142"/>
      <c r="C28" s="141"/>
    </row>
  </sheetData>
  <sheetProtection password="C10A"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AdultDayCare15Minv12</dc:title>
  <dc:subject/>
  <dc:creator>pwmfb67</dc:creator>
  <cp:keywords/>
  <dc:description/>
  <cp:lastModifiedBy>Sherpa, Tashi</cp:lastModifiedBy>
  <cp:lastPrinted>2013-08-19T19:00:56Z</cp:lastPrinted>
  <dcterms:created xsi:type="dcterms:W3CDTF">2009-10-20T14:58:44Z</dcterms:created>
  <dcterms:modified xsi:type="dcterms:W3CDTF">2019-11-19T20:04:46Z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16900.0000000000</vt:lpwstr>
  </property>
  <property fmtid="{D5CDD505-2E9C-101B-9397-08002B2CF9AE}" pid="7" name="Category-Req">
    <vt:lpwstr>MnSPA R19.2</vt:lpwstr>
  </property>
  <property fmtid="{D5CDD505-2E9C-101B-9397-08002B2CF9AE}" pid="8" name="Sub category-req:">
    <vt:lpwstr>Frameworks</vt:lpwstr>
  </property>
  <property fmtid="{D5CDD505-2E9C-101B-9397-08002B2CF9AE}" pid="9" name="_dlc_DocId">
    <vt:lpwstr>S2EJPDAADAY4-1521811817-557</vt:lpwstr>
  </property>
  <property fmtid="{D5CDD505-2E9C-101B-9397-08002B2CF9AE}" pid="10" name="_dlc_DocIdItemGuid">
    <vt:lpwstr>17f5f572-b4ca-41b4-99a4-4cc6bb6a1ddd</vt:lpwstr>
  </property>
  <property fmtid="{D5CDD505-2E9C-101B-9397-08002B2CF9AE}" pid="11" name="_dlc_DocIdUrl">
    <vt:lpwstr>https://workplace/cc/MnSPA/_layouts/15/DocIdRedir.aspx?ID=S2EJPDAADAY4-1521811817-557, S2EJPDAADAY4-1521811817-557</vt:lpwstr>
  </property>
</Properties>
</file>