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0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DTH Rate Framework" sheetId="8" r:id="rId8"/>
    <sheet name="Version" sheetId="9" state="hidden" r:id="rId9"/>
  </sheets>
  <definedNames>
    <definedName name="Budget_Neutrality">'DTH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<sst xmlns="http://schemas.openxmlformats.org/spreadsheetml/2006/main" count="375" uniqueCount="270">
  <si>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</si>
  <si>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</si>
  <si>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</si>
  <si>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</si>
  <si>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</si>
  <si>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</si>
  <si>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</si>
  <si>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</si>
  <si>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</si>
  <si>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</si>
  <si>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</si>
  <si>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</si>
  <si>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</si>
  <si>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</si>
  <si>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</si>
  <si>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</si>
  <si>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</si>
  <si>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</si>
  <si>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</si>
  <si>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</si>
  <si>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</si>
  <si>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</si>
  <si>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</si>
  <si>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</si>
  <si>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</si>
  <si>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</si>
  <si>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</si>
  <si>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</si>
  <si>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</si>
  <si>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</si>
  <si>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</si>
  <si>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</si>
  <si>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</si>
  <si>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</si>
  <si>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</si>
  <si>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</si>
  <si>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</si>
  <si>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</si>
  <si>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</si>
  <si>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</si>
  <si>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</si>
  <si>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</si>
  <si>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</si>
  <si>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</si>
  <si>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</si>
  <si>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</si>
  <si>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</si>
  <si>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</si>
  <si>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</si>
  <si>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</si>
  <si>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</si>
  <si>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</si>
  <si>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</si>
  <si>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</si>
  <si>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</si>
  <si>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</si>
  <si>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</si>
  <si>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</si>
  <si>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</si>
  <si>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</si>
  <si>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</si>
  <si>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</si>
  <si>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</si>
  <si>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</si>
  <si>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</si>
  <si>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</si>
  <si>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</si>
  <si>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</si>
  <si>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</si>
  <si>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</si>
  <si>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</si>
  <si>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</si>
  <si>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</si>
  <si>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</si>
  <si>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</si>
  <si>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</si>
  <si>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</si>
  <si>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</si>
  <si>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</si>
  <si>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</si>
  <si>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</si>
  <si>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</si>
  <si>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</si>
  <si>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</si>
  <si>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</si>
  <si>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</si>
  <si>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</si>
  <si>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</si>
  <si>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</si>
  <si>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</si>
  <si>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</si>
  <si>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</si>
  <si>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</si>
  <si>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</si>
  <si>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</si>
  <si>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</si>
  <si>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</si>
  <si>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</si>
  <si>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</si>
  <si>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</si>
  <si>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</si>
  <si>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</si>
  <si>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</si>
  <si>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</si>
  <si>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</si>
  <si>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</si>
  <si>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</si>
  <si>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</si>
  <si>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</si>
  <si>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DT&amp;H SERVICES</t>
  </si>
  <si>
    <t>Direct service staff necessary to support and related to the provision of DT&amp;H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</si>
  <si>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DT&amp;H Service to provide in-program transportation for the participant to increase access to the community outside the DT&amp;H location                                                                 - State plan or other available waiver services must be accessed first, and those services must be billed separately.
</t>
  </si>
  <si>
    <t>LPN Option</t>
  </si>
  <si>
    <t>Step 4. Add LPN Units</t>
  </si>
  <si>
    <t>Step 5. Add RN Units</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</si>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</sst>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_);_(&quot;$&quot;* \(#,##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409]dddd\,\ mmmm\ dd\,\ yyyy"/>
    <numFmt numFmtId="177" formatCode="[$-409]h:mm:ss\ AM/PM"/>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6">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44"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3" fillId="35" borderId="0" xfId="0" applyNumberFormat="1" applyFont="1" applyFill="1" applyAlignment="1">
      <alignment/>
    </xf>
    <xf numFmtId="165" fontId="44"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3" fillId="35" borderId="0" xfId="44" applyFont="1" applyFill="1" applyAlignment="1">
      <alignment/>
    </xf>
    <xf numFmtId="44" fontId="44" fillId="40" borderId="0" xfId="0" applyNumberFormat="1" applyFont="1" applyFill="1" applyAlignment="1">
      <alignment/>
    </xf>
    <xf numFmtId="0" fontId="44" fillId="35" borderId="0" xfId="0" applyFont="1" applyFill="1" applyAlignment="1">
      <alignment/>
    </xf>
    <xf numFmtId="44" fontId="0" fillId="0" borderId="10" xfId="44" applyNumberFormat="1" applyFont="1" applyFill="1" applyBorder="1" applyAlignment="1">
      <alignment/>
    </xf>
    <xf numFmtId="0" fontId="44" fillId="33" borderId="0" xfId="0" applyFont="1" applyFill="1" applyAlignment="1">
      <alignment/>
    </xf>
    <xf numFmtId="9" fontId="0" fillId="0" borderId="0" xfId="57" applyNumberFormat="1" applyFont="1" applyFill="1" applyAlignment="1" applyProtection="1">
      <alignment/>
      <protection/>
    </xf>
    <xf numFmtId="14" fontId="6" fillId="0" borderId="0" xfId="0" applyNumberFormat="1" applyFont="1" applyAlignment="1">
      <alignment/>
    </xf>
    <xf numFmtId="0" fontId="6" fillId="0" borderId="0" xfId="0" applyFont="1" applyAlignment="1">
      <alignment wrapText="1"/>
    </xf>
    <xf numFmtId="0" fontId="6"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42"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N27" sqref="N27"/>
    </sheetView>
  </sheetViews>
  <sheetFormatPr defaultColWidth="9.140625" defaultRowHeight="12.75"/>
  <cols>
    <col min="1" max="1" width="30.57421875" style="62" customWidth="1"/>
    <col min="2" max="2" width="13.00390625" style="86" customWidth="1"/>
    <col min="3" max="3" width="13.140625" style="86" customWidth="1"/>
    <col min="4" max="4" width="14.7109375" style="87" customWidth="1"/>
    <col min="5" max="5" width="17.421875" style="87" customWidth="1"/>
    <col min="6" max="6" width="17.00390625" style="86" customWidth="1"/>
    <col min="7" max="7" width="9.28125" style="62" customWidth="1"/>
    <col min="8" max="12" width="9.140625" style="62" hidden="1" customWidth="1"/>
    <col min="13" max="13" width="9.140625" style="62" customWidth="1"/>
    <col min="14" max="16384" width="9.140625" style="62" customWidth="1"/>
  </cols>
  <sheetData>
    <row r="1" spans="1:6" ht="15" customHeight="1">
      <c r="A1" s="22" t="s">
        <v>18</v>
      </c>
      <c r="B1" s="22"/>
      <c r="C1" s="62"/>
      <c r="D1" s="62"/>
      <c r="E1" s="62"/>
      <c r="F1" s="62"/>
    </row>
    <row r="2" spans="1:6" ht="15" customHeight="1" thickBot="1">
      <c r="A2" s="90" t="s">
        <v>23</v>
      </c>
      <c r="B2" s="90"/>
      <c r="C2" s="62"/>
      <c r="D2" s="62"/>
      <c r="E2" s="62"/>
      <c r="F2" s="62"/>
    </row>
    <row r="3" spans="2:11" ht="15" customHeight="1">
      <c r="B3" s="62"/>
      <c r="C3" s="62"/>
      <c r="D3" s="62"/>
      <c r="E3" s="62"/>
      <c r="F3" s="62"/>
      <c r="H3" s="63" t="s">
        <v>56</v>
      </c>
      <c r="I3" s="64">
        <f>1/1</f>
        <v>1</v>
      </c>
      <c r="J3" s="64">
        <v>1</v>
      </c>
      <c r="K3" s="65">
        <v>1</v>
      </c>
    </row>
    <row r="4" spans="1:11" ht="15" customHeight="1">
      <c r="A4" s="5" t="s">
        <v>45</v>
      </c>
      <c r="B4" s="62"/>
      <c r="C4" s="62"/>
      <c r="D4" s="62"/>
      <c r="E4" s="62"/>
      <c r="F4" s="62"/>
      <c r="H4" s="66" t="s">
        <v>57</v>
      </c>
      <c r="I4" s="67">
        <f>1/0.548</f>
        <v>1.824817518248175</v>
      </c>
      <c r="J4" s="67">
        <v>2</v>
      </c>
      <c r="K4" s="68">
        <v>0.548</v>
      </c>
    </row>
    <row r="5" spans="1:11" ht="25.5">
      <c r="A5" s="69" t="s">
        <v>0</v>
      </c>
      <c r="B5" s="70" t="s">
        <v>55</v>
      </c>
      <c r="C5" s="56" t="s">
        <v>16</v>
      </c>
      <c r="D5" s="23" t="s">
        <v>87</v>
      </c>
      <c r="E5" s="56" t="s">
        <v>88</v>
      </c>
      <c r="F5" s="57" t="s">
        <v>89</v>
      </c>
      <c r="H5" s="71" t="s">
        <v>58</v>
      </c>
      <c r="I5" s="72">
        <f>1/0.397</f>
        <v>2.5188916876574305</v>
      </c>
      <c r="J5" s="72">
        <v>3</v>
      </c>
      <c r="K5" s="73">
        <v>0.397</v>
      </c>
    </row>
    <row r="6" spans="1:11" ht="15" customHeight="1">
      <c r="A6" s="74" t="s">
        <v>63</v>
      </c>
      <c r="B6" s="75" t="s">
        <v>56</v>
      </c>
      <c r="C6" s="16">
        <v>15.3</v>
      </c>
      <c r="D6" s="52">
        <v>1</v>
      </c>
      <c r="E6" s="16">
        <f>ROUND(C6/4,2)</f>
        <v>3.83</v>
      </c>
      <c r="F6" s="120">
        <f>ROUND(E6/(VLOOKUP(B6,H3:K12,2,FALSE)),9)</f>
        <v>3.83</v>
      </c>
      <c r="H6" s="76" t="s">
        <v>59</v>
      </c>
      <c r="I6" s="60">
        <f>1/0.321</f>
        <v>3.115264797507788</v>
      </c>
      <c r="J6" s="60">
        <v>4</v>
      </c>
      <c r="K6" s="77">
        <v>0.321</v>
      </c>
    </row>
    <row r="7" spans="2:11" ht="15" customHeight="1">
      <c r="B7" s="62"/>
      <c r="C7" s="62"/>
      <c r="D7" s="62"/>
      <c r="E7" s="62"/>
      <c r="F7" s="62"/>
      <c r="H7" s="76" t="s">
        <v>76</v>
      </c>
      <c r="I7" s="60">
        <f>1/0.276</f>
        <v>3.623188405797101</v>
      </c>
      <c r="J7" s="60">
        <v>5</v>
      </c>
      <c r="K7" s="77">
        <v>0.276</v>
      </c>
    </row>
    <row r="8" spans="1:11" ht="15" customHeight="1">
      <c r="A8" s="5" t="s">
        <v>82</v>
      </c>
      <c r="B8" s="62"/>
      <c r="C8" s="62"/>
      <c r="D8" s="62"/>
      <c r="E8" s="62"/>
      <c r="F8" s="62"/>
      <c r="H8" s="76" t="s">
        <v>60</v>
      </c>
      <c r="I8" s="60">
        <f>1/0.246</f>
        <v>4.065040650406504</v>
      </c>
      <c r="J8" s="60">
        <v>6</v>
      </c>
      <c r="K8" s="77">
        <v>0.246</v>
      </c>
    </row>
    <row r="9" spans="1:11" ht="25.5">
      <c r="A9" s="50" t="s">
        <v>83</v>
      </c>
      <c r="B9" s="78"/>
      <c r="C9" s="24" t="s">
        <v>16</v>
      </c>
      <c r="D9" s="4" t="s">
        <v>85</v>
      </c>
      <c r="E9" s="4" t="s">
        <v>98</v>
      </c>
      <c r="F9" s="4" t="s">
        <v>90</v>
      </c>
      <c r="H9" s="76" t="s">
        <v>77</v>
      </c>
      <c r="I9" s="60">
        <f>1/0.224</f>
        <v>4.464285714285714</v>
      </c>
      <c r="J9" s="60">
        <v>7</v>
      </c>
      <c r="K9" s="77">
        <v>0.224</v>
      </c>
    </row>
    <row r="10" spans="1:11" ht="15" customHeight="1">
      <c r="A10" s="51" t="s">
        <v>83</v>
      </c>
      <c r="B10" s="79"/>
      <c r="C10" s="15">
        <v>19.15</v>
      </c>
      <c r="D10" s="54">
        <v>0.11</v>
      </c>
      <c r="E10" s="52">
        <f>ROUND(D6*D10,2)</f>
        <v>0.11</v>
      </c>
      <c r="F10" s="15">
        <f>ROUND(((C10/4)*E10)/VLOOKUP(B6,H3:K12,2,FALSE),9)</f>
        <v>0.526625</v>
      </c>
      <c r="H10" s="48" t="s">
        <v>61</v>
      </c>
      <c r="I10" s="60">
        <f>1/0.208</f>
        <v>4.8076923076923075</v>
      </c>
      <c r="J10" s="60">
        <v>8</v>
      </c>
      <c r="K10" s="77">
        <v>0.208</v>
      </c>
    </row>
    <row r="11" spans="2:11" ht="12.75">
      <c r="B11" s="62"/>
      <c r="C11" s="62"/>
      <c r="D11" s="62"/>
      <c r="E11" s="62"/>
      <c r="F11" s="62"/>
      <c r="H11" s="48" t="s">
        <v>78</v>
      </c>
      <c r="I11" s="60">
        <f>1/0.196</f>
        <v>5.1020408163265305</v>
      </c>
      <c r="J11" s="60">
        <v>9</v>
      </c>
      <c r="K11" s="77">
        <v>0.196</v>
      </c>
    </row>
    <row r="12" spans="1:11" ht="13.5" thickBot="1">
      <c r="A12" s="8" t="s">
        <v>80</v>
      </c>
      <c r="B12" s="80"/>
      <c r="C12" s="6"/>
      <c r="D12" s="7"/>
      <c r="E12" s="7"/>
      <c r="F12" s="6"/>
      <c r="H12" s="49" t="s">
        <v>62</v>
      </c>
      <c r="I12" s="61">
        <f>1/0.186</f>
        <v>5.376344086021505</v>
      </c>
      <c r="J12" s="61">
        <v>10</v>
      </c>
      <c r="K12" s="81">
        <v>0.186</v>
      </c>
    </row>
    <row r="13" spans="1:6" ht="38.25">
      <c r="A13" s="13" t="s">
        <v>24</v>
      </c>
      <c r="B13" s="3" t="s">
        <v>14</v>
      </c>
      <c r="C13" s="4" t="s">
        <v>15</v>
      </c>
      <c r="D13" s="4" t="s">
        <v>93</v>
      </c>
      <c r="E13" s="13" t="s">
        <v>91</v>
      </c>
      <c r="F13" s="4" t="s">
        <v>92</v>
      </c>
    </row>
    <row r="14" spans="1:6" ht="12.75">
      <c r="A14" s="53" t="s">
        <v>84</v>
      </c>
      <c r="B14" s="9">
        <v>0</v>
      </c>
      <c r="C14" s="126">
        <v>0</v>
      </c>
      <c r="D14" s="136">
        <f>IF(C14&gt;0,D6,0)</f>
        <v>0</v>
      </c>
      <c r="E14" s="139">
        <f>ROUND((C14*D14)/4,9)</f>
        <v>0</v>
      </c>
      <c r="F14" s="139">
        <f>E14</f>
        <v>0</v>
      </c>
    </row>
    <row r="15" spans="1:6" ht="12.75">
      <c r="A15" s="53" t="s">
        <v>50</v>
      </c>
      <c r="B15" s="82">
        <v>2.5</v>
      </c>
      <c r="C15" s="127"/>
      <c r="D15" s="137"/>
      <c r="E15" s="139"/>
      <c r="F15" s="139"/>
    </row>
    <row r="16" spans="2:6" ht="12.75">
      <c r="B16" s="62"/>
      <c r="C16" s="62"/>
      <c r="D16" s="62"/>
      <c r="E16" s="62"/>
      <c r="F16" s="62"/>
    </row>
    <row r="17" spans="1:6" ht="12.75">
      <c r="A17" s="5" t="s">
        <v>113</v>
      </c>
      <c r="B17" s="62"/>
      <c r="C17" s="62"/>
      <c r="D17" s="62"/>
      <c r="E17" s="62"/>
      <c r="F17" s="62"/>
    </row>
    <row r="18" spans="1:6" ht="12.75">
      <c r="A18" s="88" t="s">
        <v>0</v>
      </c>
      <c r="B18" s="88" t="s">
        <v>112</v>
      </c>
      <c r="C18" s="88" t="s">
        <v>106</v>
      </c>
      <c r="D18" s="88" t="s">
        <v>104</v>
      </c>
      <c r="E18" s="62"/>
      <c r="F18" s="62"/>
    </row>
    <row r="19" spans="1:6" ht="12.75">
      <c r="A19" s="53" t="s">
        <v>103</v>
      </c>
      <c r="B19" s="89">
        <v>0</v>
      </c>
      <c r="C19" s="9">
        <f>20.51/4</f>
        <v>5.1275</v>
      </c>
      <c r="D19" s="9">
        <f>(C19*B19)</f>
        <v>0</v>
      </c>
      <c r="E19" s="62"/>
      <c r="F19" s="62"/>
    </row>
    <row r="20" spans="2:6" ht="12.75">
      <c r="B20" s="62"/>
      <c r="C20" s="62"/>
      <c r="D20" s="62"/>
      <c r="E20" s="62"/>
      <c r="F20" s="62"/>
    </row>
    <row r="21" spans="1:8" ht="12.75">
      <c r="A21" s="5" t="s">
        <v>114</v>
      </c>
      <c r="B21" s="62"/>
      <c r="C21" s="62"/>
      <c r="D21" s="62"/>
      <c r="E21" s="62"/>
      <c r="F21" s="62"/>
      <c r="H21" s="62">
        <v>0</v>
      </c>
    </row>
    <row r="22" spans="1:8" ht="12.75">
      <c r="A22" s="88" t="s">
        <v>0</v>
      </c>
      <c r="B22" s="88" t="s">
        <v>100</v>
      </c>
      <c r="C22" s="88" t="s">
        <v>105</v>
      </c>
      <c r="D22" s="88" t="s">
        <v>102</v>
      </c>
      <c r="E22" s="62"/>
      <c r="F22" s="62"/>
      <c r="H22" s="62">
        <v>1</v>
      </c>
    </row>
    <row r="23" spans="1:8" ht="12.75">
      <c r="A23" s="53" t="s">
        <v>101</v>
      </c>
      <c r="B23" s="89">
        <v>0</v>
      </c>
      <c r="C23" s="9">
        <f>31.04/4</f>
        <v>7.76</v>
      </c>
      <c r="D23" s="9">
        <f>(C23*B23)</f>
        <v>0</v>
      </c>
      <c r="E23" s="62"/>
      <c r="F23" s="62"/>
      <c r="H23" s="62">
        <v>2</v>
      </c>
    </row>
    <row r="24" spans="2:8" ht="12.75">
      <c r="B24" s="62"/>
      <c r="C24" s="62"/>
      <c r="D24" s="62"/>
      <c r="E24" s="62"/>
      <c r="F24" s="62"/>
      <c r="H24" s="62">
        <v>3</v>
      </c>
    </row>
    <row r="25" spans="1:8" ht="12.75">
      <c r="A25" s="5" t="s">
        <v>108</v>
      </c>
      <c r="B25" s="62"/>
      <c r="C25" s="62"/>
      <c r="D25" s="62"/>
      <c r="E25" s="62"/>
      <c r="F25" s="62"/>
      <c r="H25" s="62">
        <v>4</v>
      </c>
    </row>
    <row r="26" spans="1:8" ht="12.75">
      <c r="A26" s="50" t="s">
        <v>70</v>
      </c>
      <c r="B26" s="78"/>
      <c r="C26" s="78"/>
      <c r="D26" s="83" t="s">
        <v>17</v>
      </c>
      <c r="E26" s="62"/>
      <c r="F26" s="62"/>
      <c r="H26" s="62">
        <v>5</v>
      </c>
    </row>
    <row r="27" spans="1:6" ht="12.75">
      <c r="A27" s="140" t="s">
        <v>30</v>
      </c>
      <c r="B27" s="141"/>
      <c r="C27" s="84">
        <v>0.0871</v>
      </c>
      <c r="D27" s="9">
        <f>ROUND((F6+F10+F14+D23+D19)*C27,9)</f>
        <v>0.379462038</v>
      </c>
      <c r="E27" s="62"/>
      <c r="F27" s="62"/>
    </row>
    <row r="28" spans="2:6" ht="12.75">
      <c r="B28" s="62"/>
      <c r="C28" s="62"/>
      <c r="D28" s="62"/>
      <c r="E28" s="62"/>
      <c r="F28" s="62"/>
    </row>
    <row r="29" spans="1:6" ht="12.75">
      <c r="A29" s="5" t="s">
        <v>107</v>
      </c>
      <c r="B29" s="62"/>
      <c r="C29" s="62"/>
      <c r="D29" s="62"/>
      <c r="E29" s="62"/>
      <c r="F29" s="62"/>
    </row>
    <row r="30" spans="1:6" ht="12.75">
      <c r="A30" s="142" t="s">
        <v>25</v>
      </c>
      <c r="B30" s="143"/>
      <c r="C30" s="85">
        <f>F6+F10+F14+D23+D19+D27</f>
        <v>4.736087038</v>
      </c>
      <c r="D30" s="62"/>
      <c r="E30" s="62"/>
      <c r="F30" s="62"/>
    </row>
    <row r="31" spans="2:6" ht="12.75">
      <c r="B31" s="62"/>
      <c r="C31" s="62"/>
      <c r="D31" s="62"/>
      <c r="E31" s="62"/>
      <c r="F31" s="62"/>
    </row>
    <row r="32" spans="2:6" ht="12.75">
      <c r="B32" s="62"/>
      <c r="C32" s="62"/>
      <c r="D32" s="62"/>
      <c r="E32" s="62"/>
      <c r="F32" s="62"/>
    </row>
    <row r="40" ht="12.75">
      <c r="B40" s="138"/>
    </row>
    <row r="41" ht="19.5" customHeight="1">
      <c r="B41" s="138"/>
    </row>
    <row r="42" ht="12.75">
      <c r="B42" s="138"/>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LPN Units.  Press ALT and the down arrow to bring up the drop down options.  Use arrow keys to scroll through the options and press ENTER on the appropriate selection." sqref="B19">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44" t="s">
        <v>41</v>
      </c>
      <c r="B4" s="145"/>
      <c r="C4" s="146"/>
      <c r="D4" s="29"/>
      <c r="E4" s="29"/>
    </row>
    <row r="5" spans="1:5" ht="27.75" customHeight="1">
      <c r="A5" s="149" t="s">
        <v>110</v>
      </c>
      <c r="B5" s="150"/>
      <c r="C5" s="151"/>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7" t="s">
        <v>64</v>
      </c>
      <c r="B9" s="148"/>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7" t="s">
        <v>43</v>
      </c>
      <c r="B4" s="158"/>
      <c r="C4" s="20" t="s">
        <v>20</v>
      </c>
      <c r="D4" s="29"/>
      <c r="E4" s="29"/>
    </row>
    <row r="5" spans="1:5" ht="12.75">
      <c r="A5" s="152" t="s">
        <v>28</v>
      </c>
      <c r="B5" s="153"/>
      <c r="C5" s="154">
        <v>0.1156</v>
      </c>
      <c r="D5" s="29"/>
      <c r="E5" s="29"/>
    </row>
    <row r="6" spans="1:5" ht="12.75">
      <c r="A6" s="10"/>
      <c r="B6" s="159" t="s">
        <v>29</v>
      </c>
      <c r="C6" s="155"/>
      <c r="D6" s="29"/>
      <c r="E6" s="29"/>
    </row>
    <row r="7" spans="1:5" ht="12.75">
      <c r="A7" s="11"/>
      <c r="B7" s="160"/>
      <c r="C7" s="156"/>
      <c r="D7" s="29"/>
      <c r="E7" s="29"/>
    </row>
    <row r="8" spans="1:5" ht="12.75">
      <c r="A8" s="152" t="s">
        <v>27</v>
      </c>
      <c r="B8" s="153"/>
      <c r="C8" s="154">
        <v>0.1204</v>
      </c>
      <c r="D8" s="29"/>
      <c r="E8" s="29"/>
    </row>
    <row r="9" spans="1:5" ht="12.75">
      <c r="A9" s="10"/>
      <c r="B9" s="2" t="s">
        <v>2</v>
      </c>
      <c r="C9" s="155"/>
      <c r="D9" s="29"/>
      <c r="E9" s="29"/>
    </row>
    <row r="10" spans="1:5" ht="12.75">
      <c r="A10" s="10"/>
      <c r="B10" s="2" t="s">
        <v>69</v>
      </c>
      <c r="C10" s="155"/>
      <c r="D10" s="29"/>
      <c r="E10" s="29"/>
    </row>
    <row r="11" spans="1:5" ht="12.75">
      <c r="A11" s="10"/>
      <c r="B11" s="2" t="s">
        <v>3</v>
      </c>
      <c r="C11" s="155"/>
      <c r="D11" s="29"/>
      <c r="E11" s="29"/>
    </row>
    <row r="12" spans="1:5" ht="12.75">
      <c r="A12" s="10"/>
      <c r="B12" s="2" t="s">
        <v>4</v>
      </c>
      <c r="C12" s="155"/>
      <c r="D12" s="29"/>
      <c r="E12" s="29"/>
    </row>
    <row r="13" spans="1:5" ht="12.75">
      <c r="A13" s="10"/>
      <c r="B13" s="2" t="s">
        <v>6</v>
      </c>
      <c r="C13" s="155"/>
      <c r="D13" s="29"/>
      <c r="E13" s="29"/>
    </row>
    <row r="14" spans="1:5" ht="12.75">
      <c r="A14" s="10"/>
      <c r="B14" s="2" t="s">
        <v>5</v>
      </c>
      <c r="C14" s="155"/>
      <c r="D14" s="29"/>
      <c r="E14" s="29"/>
    </row>
    <row r="15" spans="1:5" ht="12.75">
      <c r="A15" s="10"/>
      <c r="B15" s="2" t="s">
        <v>7</v>
      </c>
      <c r="C15" s="155"/>
      <c r="D15" s="29"/>
      <c r="E15" s="29"/>
    </row>
    <row r="16" spans="1:5" ht="12.75">
      <c r="A16" s="10"/>
      <c r="B16" s="2" t="s">
        <v>8</v>
      </c>
      <c r="C16" s="155"/>
      <c r="D16" s="29"/>
      <c r="E16" s="29"/>
    </row>
    <row r="17" spans="1:5" ht="12.75">
      <c r="A17" s="10"/>
      <c r="B17" s="2" t="s">
        <v>26</v>
      </c>
      <c r="C17" s="155"/>
      <c r="D17" s="29"/>
      <c r="E17" s="29"/>
    </row>
    <row r="18" spans="1:5" ht="11.25" customHeight="1">
      <c r="A18" s="11"/>
      <c r="B18" s="12"/>
      <c r="C18" s="156"/>
      <c r="D18" s="29"/>
      <c r="E18" s="29"/>
    </row>
    <row r="19" spans="1:5" ht="12.75">
      <c r="A19" s="147" t="s">
        <v>81</v>
      </c>
      <c r="B19" s="148"/>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7" t="s">
        <v>19</v>
      </c>
      <c r="B4" s="158"/>
      <c r="C4" s="20" t="s">
        <v>37</v>
      </c>
      <c r="D4" s="29"/>
      <c r="E4" s="29"/>
    </row>
    <row r="5" spans="1:5" ht="126.75" customHeight="1">
      <c r="A5" s="163" t="s">
        <v>111</v>
      </c>
      <c r="B5" s="162"/>
      <c r="C5" s="128">
        <v>0.1037</v>
      </c>
      <c r="D5" s="29"/>
      <c r="E5" s="29"/>
    </row>
    <row r="6" spans="1:5" ht="12.75">
      <c r="A6" s="29"/>
      <c r="B6" s="29"/>
      <c r="C6" s="29"/>
      <c r="D6" s="29"/>
      <c r="E6" s="29"/>
    </row>
    <row r="7" spans="1:5" ht="12.75">
      <c r="A7" s="5" t="s">
        <v>71</v>
      </c>
      <c r="C7" s="29"/>
      <c r="D7" s="29"/>
      <c r="E7" s="29"/>
    </row>
    <row r="8" spans="1:5" ht="12.75">
      <c r="A8" s="157" t="s">
        <v>52</v>
      </c>
      <c r="B8" s="158"/>
      <c r="C8" s="20" t="s">
        <v>51</v>
      </c>
      <c r="D8" s="29"/>
      <c r="E8" s="29"/>
    </row>
    <row r="9" spans="1:5" ht="12.75">
      <c r="A9" s="161" t="s">
        <v>53</v>
      </c>
      <c r="B9" s="162"/>
      <c r="C9" s="128">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14" sqref="I14"/>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94</v>
      </c>
      <c r="C4" s="58" t="s">
        <v>95</v>
      </c>
      <c r="D4" s="29"/>
      <c r="E4" s="29"/>
      <c r="F4" s="29"/>
    </row>
    <row r="5" spans="1:6" ht="12.75">
      <c r="A5" s="26" t="str">
        <f>'Direct Staffing'!B6</f>
        <v>1:1</v>
      </c>
      <c r="B5" s="27">
        <f>ROUND(20.02/120,9)</f>
        <v>0.166833333</v>
      </c>
      <c r="C5" s="28">
        <f>ROUND(((1+1/(VLOOKUP(A5,'Direct Staffing'!H3:K12,2,FALSE)))*B5),9)</f>
        <v>0.333666666</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C14"/>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0" t="s">
        <v>73</v>
      </c>
      <c r="B3" s="90"/>
      <c r="C3" s="90"/>
      <c r="D3" s="90"/>
      <c r="E3" s="90"/>
      <c r="F3" s="90"/>
      <c r="G3" s="29"/>
    </row>
    <row r="4" spans="1:7" ht="12.75">
      <c r="A4" s="168" t="s">
        <v>10</v>
      </c>
      <c r="B4" s="168"/>
      <c r="C4" s="168"/>
      <c r="D4" s="168"/>
      <c r="E4" s="21" t="s">
        <v>22</v>
      </c>
      <c r="F4" s="29"/>
      <c r="G4" s="29"/>
    </row>
    <row r="5" spans="1:7" ht="12" customHeight="1">
      <c r="A5" s="169" t="s">
        <v>67</v>
      </c>
      <c r="B5" s="169"/>
      <c r="C5" s="169"/>
      <c r="D5" s="169"/>
      <c r="E5" s="43">
        <v>0.1325</v>
      </c>
      <c r="F5" s="29"/>
      <c r="G5" s="29"/>
    </row>
    <row r="6" spans="1:7" ht="12.75">
      <c r="A6" s="169" t="s">
        <v>68</v>
      </c>
      <c r="B6" s="169"/>
      <c r="C6" s="169"/>
      <c r="D6" s="169"/>
      <c r="E6" s="43">
        <v>0.018</v>
      </c>
      <c r="F6" s="29"/>
      <c r="G6" s="29"/>
    </row>
    <row r="7" spans="1:7" ht="12.75">
      <c r="A7" s="164" t="s">
        <v>74</v>
      </c>
      <c r="B7" s="165"/>
      <c r="C7" s="165"/>
      <c r="D7" s="166"/>
      <c r="E7" s="43">
        <v>0.039</v>
      </c>
      <c r="F7" s="29"/>
      <c r="G7" s="29"/>
    </row>
    <row r="8" spans="1:7" ht="12.75">
      <c r="A8" s="167" t="s">
        <v>75</v>
      </c>
      <c r="B8" s="167"/>
      <c r="C8" s="167"/>
      <c r="D8" s="167"/>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6" sqref="I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3" bestFit="1" customWidth="1"/>
  </cols>
  <sheetData>
    <row r="3" spans="1:4" ht="12.75">
      <c r="A3" s="5" t="s">
        <v>131</v>
      </c>
      <c r="B3" s="62"/>
      <c r="C3" s="62"/>
      <c r="D3" s="62"/>
    </row>
    <row r="4" spans="1:4" ht="12.75">
      <c r="A4" s="50" t="s">
        <v>132</v>
      </c>
      <c r="B4" s="170" t="s">
        <v>133</v>
      </c>
      <c r="C4" s="171"/>
      <c r="D4" s="172"/>
    </row>
    <row r="5" spans="1:4" ht="12.75">
      <c r="A5" s="50" t="s">
        <v>134</v>
      </c>
      <c r="B5" s="173" t="str">
        <f>INDEX($C$10:$C$108,MATCH(B4:D4,B10:B108,0))</f>
        <v>Unspecified Region</v>
      </c>
      <c r="C5" s="174"/>
      <c r="D5" s="175"/>
    </row>
    <row r="7" spans="1:2" ht="12.75" hidden="1">
      <c r="A7" t="s">
        <v>135</v>
      </c>
      <c r="B7" t="str">
        <f>INDEX($D$10:$D$108,MATCH(B4:D4,B10:B108,0))</f>
        <v>-</v>
      </c>
    </row>
    <row r="8" ht="12.75" hidden="1"/>
    <row r="9" spans="2:6" ht="15" hidden="1">
      <c r="B9" s="94" t="s">
        <v>136</v>
      </c>
      <c r="C9" s="94" t="s">
        <v>137</v>
      </c>
      <c r="D9" s="95" t="s">
        <v>135</v>
      </c>
      <c r="F9"/>
    </row>
    <row r="10" spans="2:6" ht="15" hidden="1">
      <c r="B10" s="96" t="s">
        <v>133</v>
      </c>
      <c r="C10" s="96" t="s">
        <v>138</v>
      </c>
      <c r="D10" s="97" t="s">
        <v>139</v>
      </c>
      <c r="F10"/>
    </row>
    <row r="11" spans="2:6" ht="15" hidden="1">
      <c r="B11" s="98" t="s">
        <v>140</v>
      </c>
      <c r="C11" s="98" t="s">
        <v>141</v>
      </c>
      <c r="D11" s="99">
        <v>0.973</v>
      </c>
      <c r="F11"/>
    </row>
    <row r="12" spans="2:6" ht="15" hidden="1">
      <c r="B12" s="98" t="s">
        <v>142</v>
      </c>
      <c r="C12" s="98" t="s">
        <v>143</v>
      </c>
      <c r="D12" s="99">
        <v>1.013</v>
      </c>
      <c r="F12"/>
    </row>
    <row r="13" spans="2:6" ht="15" hidden="1">
      <c r="B13" s="98" t="s">
        <v>144</v>
      </c>
      <c r="C13" s="98" t="s">
        <v>145</v>
      </c>
      <c r="D13" s="99">
        <v>1.007</v>
      </c>
      <c r="F13"/>
    </row>
    <row r="14" spans="2:6" ht="15" hidden="1">
      <c r="B14" s="98" t="s">
        <v>146</v>
      </c>
      <c r="C14" s="98" t="s">
        <v>145</v>
      </c>
      <c r="D14" s="99">
        <v>1.007</v>
      </c>
      <c r="F14"/>
    </row>
    <row r="15" spans="2:6" ht="15" hidden="1">
      <c r="B15" s="98" t="s">
        <v>147</v>
      </c>
      <c r="C15" s="98" t="s">
        <v>148</v>
      </c>
      <c r="D15" s="99">
        <v>0.946</v>
      </c>
      <c r="F15"/>
    </row>
    <row r="16" spans="2:6" ht="15" hidden="1">
      <c r="B16" s="98" t="s">
        <v>149</v>
      </c>
      <c r="C16" s="100" t="s">
        <v>150</v>
      </c>
      <c r="D16" s="99">
        <v>0.979</v>
      </c>
      <c r="F16"/>
    </row>
    <row r="17" spans="2:6" ht="15" hidden="1">
      <c r="B17" s="98" t="s">
        <v>151</v>
      </c>
      <c r="C17" s="98" t="s">
        <v>152</v>
      </c>
      <c r="D17" s="99">
        <v>1.043</v>
      </c>
      <c r="F17"/>
    </row>
    <row r="18" spans="2:6" ht="15" hidden="1">
      <c r="B18" s="98" t="s">
        <v>153</v>
      </c>
      <c r="C18" s="100" t="s">
        <v>154</v>
      </c>
      <c r="D18" s="99">
        <v>0.95</v>
      </c>
      <c r="F18"/>
    </row>
    <row r="19" spans="2:6" ht="15" hidden="1">
      <c r="B19" s="98" t="s">
        <v>155</v>
      </c>
      <c r="C19" s="100" t="s">
        <v>156</v>
      </c>
      <c r="D19" s="99">
        <v>0.95</v>
      </c>
      <c r="F19"/>
    </row>
    <row r="20" spans="2:6" ht="15" hidden="1">
      <c r="B20" s="98" t="s">
        <v>157</v>
      </c>
      <c r="C20" s="98" t="s">
        <v>143</v>
      </c>
      <c r="D20" s="99">
        <v>1.013</v>
      </c>
      <c r="F20"/>
    </row>
    <row r="21" spans="2:6" ht="15" hidden="1">
      <c r="B21" s="98" t="s">
        <v>158</v>
      </c>
      <c r="C21" s="98" t="s">
        <v>145</v>
      </c>
      <c r="D21" s="99">
        <v>1.007</v>
      </c>
      <c r="F21"/>
    </row>
    <row r="22" spans="2:6" ht="15" hidden="1">
      <c r="B22" s="98" t="s">
        <v>159</v>
      </c>
      <c r="C22" s="100" t="s">
        <v>150</v>
      </c>
      <c r="D22" s="99">
        <v>0.979</v>
      </c>
      <c r="F22"/>
    </row>
    <row r="23" spans="2:6" ht="15" hidden="1">
      <c r="B23" s="98" t="s">
        <v>160</v>
      </c>
      <c r="C23" s="100" t="s">
        <v>143</v>
      </c>
      <c r="D23" s="99">
        <v>1.013</v>
      </c>
      <c r="F23"/>
    </row>
    <row r="24" spans="2:6" ht="15" hidden="1">
      <c r="B24" s="98" t="s">
        <v>161</v>
      </c>
      <c r="C24" s="100" t="s">
        <v>162</v>
      </c>
      <c r="D24" s="99">
        <v>0.991</v>
      </c>
      <c r="F24"/>
    </row>
    <row r="25" spans="2:6" ht="15" hidden="1">
      <c r="B25" s="98" t="s">
        <v>163</v>
      </c>
      <c r="C25" s="98" t="s">
        <v>145</v>
      </c>
      <c r="D25" s="99">
        <v>1.007</v>
      </c>
      <c r="F25"/>
    </row>
    <row r="26" spans="2:6" ht="15" hidden="1">
      <c r="B26" s="98" t="s">
        <v>164</v>
      </c>
      <c r="C26" s="100" t="s">
        <v>141</v>
      </c>
      <c r="D26" s="99">
        <v>0.973</v>
      </c>
      <c r="F26"/>
    </row>
    <row r="27" spans="2:6" ht="15" hidden="1">
      <c r="B27" s="98" t="s">
        <v>165</v>
      </c>
      <c r="C27" s="100" t="s">
        <v>150</v>
      </c>
      <c r="D27" s="99">
        <v>0.979</v>
      </c>
      <c r="F27"/>
    </row>
    <row r="28" spans="2:6" ht="15" hidden="1">
      <c r="B28" s="98" t="s">
        <v>166</v>
      </c>
      <c r="C28" s="98" t="s">
        <v>145</v>
      </c>
      <c r="D28" s="99">
        <v>1.007</v>
      </c>
      <c r="F28"/>
    </row>
    <row r="29" spans="2:6" ht="15" hidden="1">
      <c r="B29" s="98" t="s">
        <v>167</v>
      </c>
      <c r="C29" s="98" t="s">
        <v>143</v>
      </c>
      <c r="D29" s="99">
        <v>1.013</v>
      </c>
      <c r="F29"/>
    </row>
    <row r="30" spans="2:6" ht="15" hidden="1">
      <c r="B30" s="98" t="s">
        <v>168</v>
      </c>
      <c r="C30" s="100" t="s">
        <v>169</v>
      </c>
      <c r="D30" s="99">
        <v>1.047</v>
      </c>
      <c r="F30"/>
    </row>
    <row r="31" spans="2:6" ht="15" hidden="1">
      <c r="B31" s="98" t="s">
        <v>170</v>
      </c>
      <c r="C31" s="98" t="s">
        <v>145</v>
      </c>
      <c r="D31" s="99">
        <v>1.007</v>
      </c>
      <c r="F31"/>
    </row>
    <row r="32" spans="2:6" ht="15" hidden="1">
      <c r="B32" s="98" t="s">
        <v>171</v>
      </c>
      <c r="C32" s="100" t="s">
        <v>154</v>
      </c>
      <c r="D32" s="99">
        <v>0.95</v>
      </c>
      <c r="F32"/>
    </row>
    <row r="33" spans="2:6" ht="15" hidden="1">
      <c r="B33" s="98" t="s">
        <v>172</v>
      </c>
      <c r="C33" s="100" t="s">
        <v>169</v>
      </c>
      <c r="D33" s="99">
        <v>1.047</v>
      </c>
      <c r="F33"/>
    </row>
    <row r="34" spans="2:6" ht="15" hidden="1">
      <c r="B34" s="98" t="s">
        <v>173</v>
      </c>
      <c r="C34" s="100" t="s">
        <v>154</v>
      </c>
      <c r="D34" s="99">
        <v>0.95</v>
      </c>
      <c r="F34"/>
    </row>
    <row r="35" spans="2:6" ht="15" hidden="1">
      <c r="B35" s="98" t="s">
        <v>174</v>
      </c>
      <c r="C35" s="100" t="s">
        <v>154</v>
      </c>
      <c r="D35" s="99">
        <v>0.95</v>
      </c>
      <c r="F35"/>
    </row>
    <row r="36" spans="2:6" ht="15" hidden="1">
      <c r="B36" s="98" t="s">
        <v>175</v>
      </c>
      <c r="C36" s="98" t="s">
        <v>145</v>
      </c>
      <c r="D36" s="99">
        <v>1.007</v>
      </c>
      <c r="F36"/>
    </row>
    <row r="37" spans="2:6" ht="15" hidden="1">
      <c r="B37" s="98" t="s">
        <v>176</v>
      </c>
      <c r="C37" s="98" t="s">
        <v>143</v>
      </c>
      <c r="D37" s="99">
        <v>1.013</v>
      </c>
      <c r="F37"/>
    </row>
    <row r="38" spans="2:6" ht="15" hidden="1">
      <c r="B38" s="98" t="s">
        <v>177</v>
      </c>
      <c r="C38" s="100" t="s">
        <v>178</v>
      </c>
      <c r="D38" s="99">
        <v>1.034</v>
      </c>
      <c r="F38"/>
    </row>
    <row r="39" spans="2:6" ht="15" hidden="1">
      <c r="B39" s="98" t="s">
        <v>179</v>
      </c>
      <c r="C39" s="98" t="s">
        <v>145</v>
      </c>
      <c r="D39" s="99">
        <v>1.007</v>
      </c>
      <c r="F39"/>
    </row>
    <row r="40" spans="2:6" ht="15" hidden="1">
      <c r="B40" s="98" t="s">
        <v>180</v>
      </c>
      <c r="C40" s="100" t="s">
        <v>143</v>
      </c>
      <c r="D40" s="99">
        <v>1.013</v>
      </c>
      <c r="F40"/>
    </row>
    <row r="41" spans="2:6" ht="15" hidden="1">
      <c r="B41" s="98" t="s">
        <v>181</v>
      </c>
      <c r="C41" s="100" t="s">
        <v>141</v>
      </c>
      <c r="D41" s="99">
        <v>0.973</v>
      </c>
      <c r="F41"/>
    </row>
    <row r="42" spans="2:6" ht="15" hidden="1">
      <c r="B42" s="98" t="s">
        <v>182</v>
      </c>
      <c r="C42" s="100" t="s">
        <v>150</v>
      </c>
      <c r="D42" s="99">
        <v>0.979</v>
      </c>
      <c r="F42"/>
    </row>
    <row r="43" spans="2:6" ht="15" hidden="1">
      <c r="B43" s="98" t="s">
        <v>183</v>
      </c>
      <c r="C43" s="100" t="s">
        <v>141</v>
      </c>
      <c r="D43" s="99">
        <v>0.973</v>
      </c>
      <c r="F43"/>
    </row>
    <row r="44" spans="2:6" ht="15" hidden="1">
      <c r="B44" s="98" t="s">
        <v>184</v>
      </c>
      <c r="C44" s="100" t="s">
        <v>150</v>
      </c>
      <c r="D44" s="99">
        <v>0.979</v>
      </c>
      <c r="F44"/>
    </row>
    <row r="45" spans="2:6" ht="15" hidden="1">
      <c r="B45" s="98" t="s">
        <v>185</v>
      </c>
      <c r="C45" s="98" t="s">
        <v>145</v>
      </c>
      <c r="D45" s="99">
        <v>1.007</v>
      </c>
      <c r="F45"/>
    </row>
    <row r="46" spans="2:6" ht="15" hidden="1">
      <c r="B46" s="98" t="s">
        <v>186</v>
      </c>
      <c r="C46" s="100" t="s">
        <v>141</v>
      </c>
      <c r="D46" s="99">
        <v>0.973</v>
      </c>
      <c r="F46"/>
    </row>
    <row r="47" spans="2:6" ht="15" hidden="1">
      <c r="B47" s="98" t="s">
        <v>187</v>
      </c>
      <c r="C47" s="100" t="s">
        <v>150</v>
      </c>
      <c r="D47" s="99">
        <v>0.979</v>
      </c>
      <c r="F47"/>
    </row>
    <row r="48" spans="2:6" ht="15" hidden="1">
      <c r="B48" s="98" t="s">
        <v>188</v>
      </c>
      <c r="C48" s="100" t="s">
        <v>141</v>
      </c>
      <c r="D48" s="99">
        <v>0.973</v>
      </c>
      <c r="F48"/>
    </row>
    <row r="49" spans="2:6" ht="15" hidden="1">
      <c r="B49" s="98" t="s">
        <v>189</v>
      </c>
      <c r="C49" s="98" t="s">
        <v>145</v>
      </c>
      <c r="D49" s="99">
        <v>1.007</v>
      </c>
      <c r="F49"/>
    </row>
    <row r="50" spans="2:6" ht="15" hidden="1">
      <c r="B50" s="98" t="s">
        <v>190</v>
      </c>
      <c r="C50" s="100" t="s">
        <v>143</v>
      </c>
      <c r="D50" s="99">
        <v>1.013</v>
      </c>
      <c r="F50"/>
    </row>
    <row r="51" spans="2:6" ht="15" hidden="1">
      <c r="B51" s="98" t="s">
        <v>191</v>
      </c>
      <c r="C51" s="100" t="s">
        <v>150</v>
      </c>
      <c r="D51" s="99">
        <v>0.979</v>
      </c>
      <c r="F51"/>
    </row>
    <row r="52" spans="2:6" ht="15" hidden="1">
      <c r="B52" s="98" t="s">
        <v>192</v>
      </c>
      <c r="C52" s="100" t="s">
        <v>150</v>
      </c>
      <c r="D52" s="99">
        <v>0.979</v>
      </c>
      <c r="F52"/>
    </row>
    <row r="53" spans="2:6" ht="15" hidden="1">
      <c r="B53" s="98" t="s">
        <v>196</v>
      </c>
      <c r="C53" s="100" t="s">
        <v>150</v>
      </c>
      <c r="D53" s="99">
        <v>0.979</v>
      </c>
      <c r="F53"/>
    </row>
    <row r="54" spans="2:6" ht="15" hidden="1">
      <c r="B54" s="98" t="s">
        <v>193</v>
      </c>
      <c r="C54" s="98" t="s">
        <v>145</v>
      </c>
      <c r="D54" s="99">
        <v>1.007</v>
      </c>
      <c r="F54"/>
    </row>
    <row r="55" spans="2:6" ht="15" hidden="1">
      <c r="B55" s="98" t="s">
        <v>194</v>
      </c>
      <c r="C55" s="98" t="s">
        <v>145</v>
      </c>
      <c r="D55" s="99">
        <v>1.007</v>
      </c>
      <c r="F55"/>
    </row>
    <row r="56" spans="2:6" ht="15" hidden="1">
      <c r="B56" s="98" t="s">
        <v>195</v>
      </c>
      <c r="C56" s="100" t="s">
        <v>154</v>
      </c>
      <c r="D56" s="99">
        <v>0.95</v>
      </c>
      <c r="F56"/>
    </row>
    <row r="57" spans="2:6" ht="15" hidden="1">
      <c r="B57" s="98" t="s">
        <v>197</v>
      </c>
      <c r="C57" s="100" t="s">
        <v>150</v>
      </c>
      <c r="D57" s="99">
        <v>0.979</v>
      </c>
      <c r="F57"/>
    </row>
    <row r="58" spans="2:6" ht="15" hidden="1">
      <c r="B58" s="98" t="s">
        <v>198</v>
      </c>
      <c r="C58" s="100" t="s">
        <v>143</v>
      </c>
      <c r="D58" s="99">
        <v>1.013</v>
      </c>
      <c r="F58"/>
    </row>
    <row r="59" spans="2:6" ht="15" hidden="1">
      <c r="B59" s="98" t="s">
        <v>199</v>
      </c>
      <c r="C59" s="98" t="s">
        <v>145</v>
      </c>
      <c r="D59" s="99">
        <v>1.007</v>
      </c>
      <c r="F59"/>
    </row>
    <row r="60" spans="2:6" ht="15" hidden="1">
      <c r="B60" s="98" t="s">
        <v>200</v>
      </c>
      <c r="C60" s="100" t="s">
        <v>154</v>
      </c>
      <c r="D60" s="99">
        <v>0.95</v>
      </c>
      <c r="F60"/>
    </row>
    <row r="61" spans="2:6" ht="15" hidden="1">
      <c r="B61" s="98" t="s">
        <v>201</v>
      </c>
      <c r="C61" s="100" t="s">
        <v>150</v>
      </c>
      <c r="D61" s="99">
        <v>0.979</v>
      </c>
      <c r="F61"/>
    </row>
    <row r="62" spans="2:6" ht="15" hidden="1">
      <c r="B62" s="98" t="s">
        <v>202</v>
      </c>
      <c r="C62" s="100" t="s">
        <v>152</v>
      </c>
      <c r="D62" s="99">
        <v>1.043</v>
      </c>
      <c r="F62"/>
    </row>
    <row r="63" spans="2:6" ht="15" hidden="1">
      <c r="B63" s="98" t="s">
        <v>203</v>
      </c>
      <c r="C63" s="100" t="s">
        <v>150</v>
      </c>
      <c r="D63" s="99">
        <v>0.979</v>
      </c>
      <c r="F63"/>
    </row>
    <row r="64" spans="2:6" ht="15" hidden="1">
      <c r="B64" s="98" t="s">
        <v>204</v>
      </c>
      <c r="C64" s="98" t="s">
        <v>145</v>
      </c>
      <c r="D64" s="99">
        <v>1.007</v>
      </c>
      <c r="F64"/>
    </row>
    <row r="65" spans="2:6" ht="15" hidden="1">
      <c r="B65" s="98" t="s">
        <v>205</v>
      </c>
      <c r="C65" s="100" t="s">
        <v>169</v>
      </c>
      <c r="D65" s="99">
        <v>1.047</v>
      </c>
      <c r="F65"/>
    </row>
    <row r="66" spans="2:6" ht="15" hidden="1">
      <c r="B66" s="98" t="s">
        <v>206</v>
      </c>
      <c r="C66" s="98" t="s">
        <v>145</v>
      </c>
      <c r="D66" s="99">
        <v>1.007</v>
      </c>
      <c r="F66"/>
    </row>
    <row r="67" spans="2:6" ht="15" hidden="1">
      <c r="B67" s="98" t="s">
        <v>207</v>
      </c>
      <c r="C67" s="98" t="s">
        <v>145</v>
      </c>
      <c r="D67" s="99">
        <v>1.007</v>
      </c>
      <c r="F67"/>
    </row>
    <row r="68" spans="2:6" ht="15" hidden="1">
      <c r="B68" s="98" t="s">
        <v>208</v>
      </c>
      <c r="C68" s="100" t="s">
        <v>141</v>
      </c>
      <c r="D68" s="99">
        <v>0.973</v>
      </c>
      <c r="F68"/>
    </row>
    <row r="69" spans="2:6" ht="15" hidden="1">
      <c r="B69" s="98" t="s">
        <v>209</v>
      </c>
      <c r="C69" s="100" t="s">
        <v>150</v>
      </c>
      <c r="D69" s="99">
        <v>0.979</v>
      </c>
      <c r="F69"/>
    </row>
    <row r="70" spans="2:6" ht="15" hidden="1">
      <c r="B70" s="98" t="s">
        <v>210</v>
      </c>
      <c r="C70" s="100" t="s">
        <v>211</v>
      </c>
      <c r="D70" s="99">
        <v>0.991</v>
      </c>
      <c r="F70"/>
    </row>
    <row r="71" spans="2:6" ht="15" hidden="1">
      <c r="B71" s="98" t="s">
        <v>212</v>
      </c>
      <c r="C71" s="98" t="s">
        <v>145</v>
      </c>
      <c r="D71" s="99">
        <v>1.007</v>
      </c>
      <c r="F71"/>
    </row>
    <row r="72" spans="2:6" ht="15" hidden="1">
      <c r="B72" s="98" t="s">
        <v>213</v>
      </c>
      <c r="C72" s="98" t="s">
        <v>143</v>
      </c>
      <c r="D72" s="99">
        <v>1.013</v>
      </c>
      <c r="F72"/>
    </row>
    <row r="73" spans="2:6" ht="15" hidden="1">
      <c r="B73" s="98" t="s">
        <v>214</v>
      </c>
      <c r="C73" s="98" t="s">
        <v>145</v>
      </c>
      <c r="D73" s="99">
        <v>1.007</v>
      </c>
      <c r="F73"/>
    </row>
    <row r="74" spans="2:6" ht="15" hidden="1">
      <c r="B74" s="98" t="s">
        <v>215</v>
      </c>
      <c r="C74" s="100" t="s">
        <v>150</v>
      </c>
      <c r="D74" s="99">
        <v>0.979</v>
      </c>
      <c r="F74"/>
    </row>
    <row r="75" spans="2:6" ht="15" hidden="1">
      <c r="B75" s="98" t="s">
        <v>216</v>
      </c>
      <c r="C75" s="100" t="s">
        <v>150</v>
      </c>
      <c r="D75" s="99">
        <v>0.979</v>
      </c>
      <c r="F75"/>
    </row>
    <row r="76" spans="2:6" ht="15" hidden="1">
      <c r="B76" s="98" t="s">
        <v>217</v>
      </c>
      <c r="C76" s="100" t="s">
        <v>154</v>
      </c>
      <c r="D76" s="99">
        <v>0.95</v>
      </c>
      <c r="F76"/>
    </row>
    <row r="77" spans="2:6" ht="15" hidden="1">
      <c r="B77" s="98" t="s">
        <v>218</v>
      </c>
      <c r="C77" s="100" t="s">
        <v>150</v>
      </c>
      <c r="D77" s="99">
        <v>0.979</v>
      </c>
      <c r="F77"/>
    </row>
    <row r="78" spans="2:6" ht="15" hidden="1">
      <c r="B78" s="98" t="s">
        <v>219</v>
      </c>
      <c r="C78" s="98" t="s">
        <v>145</v>
      </c>
      <c r="D78" s="99">
        <v>1.007</v>
      </c>
      <c r="F78"/>
    </row>
    <row r="79" spans="2:6" ht="15" hidden="1">
      <c r="B79" s="98" t="s">
        <v>223</v>
      </c>
      <c r="C79" s="100" t="s">
        <v>156</v>
      </c>
      <c r="D79" s="99">
        <v>0.95</v>
      </c>
      <c r="F79"/>
    </row>
    <row r="80" spans="2:6" ht="15" hidden="1">
      <c r="B80" s="98" t="s">
        <v>220</v>
      </c>
      <c r="C80" s="98" t="s">
        <v>143</v>
      </c>
      <c r="D80" s="99">
        <v>1.013</v>
      </c>
      <c r="F80"/>
    </row>
    <row r="81" spans="2:6" ht="15" hidden="1">
      <c r="B81" s="98" t="s">
        <v>221</v>
      </c>
      <c r="C81" s="100" t="s">
        <v>143</v>
      </c>
      <c r="D81" s="99">
        <v>1.013</v>
      </c>
      <c r="F81"/>
    </row>
    <row r="82" spans="2:6" ht="15" hidden="1">
      <c r="B82" s="98" t="s">
        <v>222</v>
      </c>
      <c r="C82" s="100" t="s">
        <v>143</v>
      </c>
      <c r="D82" s="99">
        <v>1.013</v>
      </c>
      <c r="F82"/>
    </row>
    <row r="83" spans="2:6" ht="15" hidden="1">
      <c r="B83" s="98" t="s">
        <v>224</v>
      </c>
      <c r="C83" s="100" t="s">
        <v>148</v>
      </c>
      <c r="D83" s="99">
        <v>0.946</v>
      </c>
      <c r="F83"/>
    </row>
    <row r="84" spans="2:6" ht="15" hidden="1">
      <c r="B84" s="98" t="s">
        <v>225</v>
      </c>
      <c r="C84" s="100" t="s">
        <v>154</v>
      </c>
      <c r="D84" s="99">
        <v>0.95</v>
      </c>
      <c r="F84"/>
    </row>
    <row r="85" spans="2:6" ht="15" hidden="1">
      <c r="B85" s="98" t="s">
        <v>226</v>
      </c>
      <c r="C85" s="98" t="s">
        <v>145</v>
      </c>
      <c r="D85" s="99">
        <v>1.007</v>
      </c>
      <c r="F85"/>
    </row>
    <row r="86" spans="2:6" ht="15" hidden="1">
      <c r="B86" s="98" t="s">
        <v>227</v>
      </c>
      <c r="C86" s="100" t="s">
        <v>150</v>
      </c>
      <c r="D86" s="99">
        <v>0.979</v>
      </c>
      <c r="F86"/>
    </row>
    <row r="87" spans="2:6" ht="15" hidden="1">
      <c r="B87" s="98" t="s">
        <v>228</v>
      </c>
      <c r="C87" s="98" t="s">
        <v>145</v>
      </c>
      <c r="D87" s="99">
        <v>1.007</v>
      </c>
      <c r="F87"/>
    </row>
    <row r="88" spans="2:6" ht="15" hidden="1">
      <c r="B88" s="98" t="s">
        <v>229</v>
      </c>
      <c r="C88" s="98" t="s">
        <v>145</v>
      </c>
      <c r="D88" s="99">
        <v>1.007</v>
      </c>
      <c r="F88"/>
    </row>
    <row r="89" spans="2:6" ht="15" hidden="1">
      <c r="B89" s="98" t="s">
        <v>230</v>
      </c>
      <c r="C89" s="100" t="s">
        <v>169</v>
      </c>
      <c r="D89" s="99">
        <v>1.047</v>
      </c>
      <c r="F89"/>
    </row>
    <row r="90" spans="2:6" ht="15" hidden="1">
      <c r="B90" s="98" t="s">
        <v>231</v>
      </c>
      <c r="C90" s="98" t="s">
        <v>145</v>
      </c>
      <c r="D90" s="99">
        <v>1.007</v>
      </c>
      <c r="F90"/>
    </row>
    <row r="91" spans="2:6" ht="15" hidden="1">
      <c r="B91" s="98" t="s">
        <v>232</v>
      </c>
      <c r="C91" s="100" t="s">
        <v>154</v>
      </c>
      <c r="D91" s="99">
        <v>0.95</v>
      </c>
      <c r="F91"/>
    </row>
    <row r="92" spans="2:6" ht="15" hidden="1">
      <c r="B92" s="98" t="s">
        <v>233</v>
      </c>
      <c r="C92" s="98" t="s">
        <v>143</v>
      </c>
      <c r="D92" s="99">
        <v>1.013</v>
      </c>
      <c r="F92"/>
    </row>
    <row r="93" spans="2:6" ht="15" hidden="1">
      <c r="B93" s="98" t="s">
        <v>234</v>
      </c>
      <c r="C93" s="100" t="s">
        <v>154</v>
      </c>
      <c r="D93" s="99">
        <v>0.95</v>
      </c>
      <c r="F93"/>
    </row>
    <row r="94" spans="2:6" ht="15" hidden="1">
      <c r="B94" s="98" t="s">
        <v>235</v>
      </c>
      <c r="C94" s="98" t="s">
        <v>145</v>
      </c>
      <c r="D94" s="99">
        <v>1.007</v>
      </c>
      <c r="F94"/>
    </row>
    <row r="95" spans="2:6" ht="15" hidden="1">
      <c r="B95" s="98" t="s">
        <v>236</v>
      </c>
      <c r="C95" s="100" t="s">
        <v>154</v>
      </c>
      <c r="D95" s="99">
        <v>0.95</v>
      </c>
      <c r="F95"/>
    </row>
    <row r="96" spans="2:6" ht="15" hidden="1">
      <c r="B96" s="98" t="s">
        <v>237</v>
      </c>
      <c r="C96" s="100" t="s">
        <v>143</v>
      </c>
      <c r="D96" s="99">
        <v>1.013</v>
      </c>
      <c r="F96"/>
    </row>
    <row r="97" spans="2:6" ht="15" hidden="1">
      <c r="B97" s="131" t="s">
        <v>238</v>
      </c>
      <c r="C97" s="132" t="s">
        <v>150</v>
      </c>
      <c r="D97" s="133">
        <v>0.979</v>
      </c>
      <c r="F97"/>
    </row>
    <row r="98" spans="2:4" ht="12.75" hidden="1">
      <c r="B98" s="134" t="s">
        <v>255</v>
      </c>
      <c r="C98" s="134" t="s">
        <v>145</v>
      </c>
      <c r="D98" s="135">
        <v>1.007</v>
      </c>
    </row>
    <row r="99" spans="2:4" ht="12.75" hidden="1">
      <c r="B99" s="134" t="s">
        <v>256</v>
      </c>
      <c r="C99" s="134" t="s">
        <v>145</v>
      </c>
      <c r="D99" s="135">
        <v>1.007</v>
      </c>
    </row>
    <row r="100" spans="2:4" ht="12.75" hidden="1">
      <c r="B100" s="134" t="s">
        <v>257</v>
      </c>
      <c r="C100" s="134" t="s">
        <v>150</v>
      </c>
      <c r="D100" s="135">
        <v>0.979</v>
      </c>
    </row>
    <row r="101" spans="2:4" ht="12.75" hidden="1">
      <c r="B101" s="134" t="s">
        <v>258</v>
      </c>
      <c r="C101" s="134" t="s">
        <v>143</v>
      </c>
      <c r="D101" s="135">
        <v>1.013</v>
      </c>
    </row>
    <row r="102" spans="2:4" ht="12.75" hidden="1">
      <c r="B102" s="134" t="s">
        <v>259</v>
      </c>
      <c r="C102" s="134" t="s">
        <v>150</v>
      </c>
      <c r="D102" s="135">
        <v>0.979</v>
      </c>
    </row>
    <row r="103" spans="2:4" ht="12.75" hidden="1">
      <c r="B103" s="134" t="s">
        <v>260</v>
      </c>
      <c r="C103" s="134" t="s">
        <v>143</v>
      </c>
      <c r="D103" s="135">
        <v>1.013</v>
      </c>
    </row>
    <row r="104" spans="2:4" ht="12.75" hidden="1">
      <c r="B104" s="134" t="s">
        <v>261</v>
      </c>
      <c r="C104" s="134" t="s">
        <v>141</v>
      </c>
      <c r="D104" s="134">
        <v>0.973</v>
      </c>
    </row>
    <row r="105" spans="2:4" ht="12.75" hidden="1">
      <c r="B105" s="134" t="s">
        <v>262</v>
      </c>
      <c r="C105" s="134" t="s">
        <v>156</v>
      </c>
      <c r="D105" s="135">
        <v>0.95</v>
      </c>
    </row>
    <row r="106" spans="2:4" ht="12.75" hidden="1">
      <c r="B106" s="134" t="s">
        <v>263</v>
      </c>
      <c r="C106" s="134" t="s">
        <v>145</v>
      </c>
      <c r="D106" s="134">
        <v>1.007</v>
      </c>
    </row>
    <row r="107" spans="2:4" ht="12.75" hidden="1">
      <c r="B107" s="134" t="s">
        <v>264</v>
      </c>
      <c r="C107" s="134" t="s">
        <v>141</v>
      </c>
      <c r="D107" s="134">
        <v>0.973</v>
      </c>
    </row>
    <row r="108" spans="2:4" ht="12.75" hidden="1">
      <c r="B108" s="134" t="s">
        <v>265</v>
      </c>
      <c r="C108" s="134" t="s">
        <v>154</v>
      </c>
      <c r="D108" s="135">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F24" sqref="F24"/>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9" customWidth="1"/>
    <col min="6" max="6" width="11.28125" style="31" bestFit="1" customWidth="1"/>
    <col min="7" max="16384" width="9.140625" style="31" customWidth="1"/>
  </cols>
  <sheetData>
    <row r="1" spans="1:6" ht="15">
      <c r="A1" s="30" t="s">
        <v>109</v>
      </c>
      <c r="C1" s="29"/>
      <c r="D1" s="29"/>
      <c r="E1" s="121"/>
      <c r="F1" s="29"/>
    </row>
    <row r="2" spans="1:6" ht="12.75">
      <c r="A2" s="32"/>
      <c r="B2" s="32"/>
      <c r="C2" s="32"/>
      <c r="D2" s="32"/>
      <c r="E2" s="121"/>
      <c r="F2" s="29"/>
    </row>
    <row r="3" spans="1:6" ht="12.75">
      <c r="A3" s="33" t="s">
        <v>11</v>
      </c>
      <c r="B3" s="29"/>
      <c r="C3" s="29"/>
      <c r="D3" s="5" t="s">
        <v>79</v>
      </c>
      <c r="E3" s="121"/>
      <c r="F3" s="29" t="s">
        <v>244</v>
      </c>
    </row>
    <row r="4" spans="1:6" ht="12.75">
      <c r="A4" s="59" t="s">
        <v>96</v>
      </c>
      <c r="B4" s="35">
        <f>'Direct Staffing'!C30</f>
        <v>4.736087038</v>
      </c>
      <c r="D4" s="36">
        <f>B4</f>
        <v>4.736087038</v>
      </c>
      <c r="E4" s="121"/>
      <c r="F4" s="29"/>
    </row>
    <row r="5" spans="1:6" ht="12.75">
      <c r="A5" s="32"/>
      <c r="B5" s="32"/>
      <c r="C5" s="32"/>
      <c r="D5" s="32"/>
      <c r="E5" s="121"/>
      <c r="F5" s="29"/>
    </row>
    <row r="6" spans="1:6" ht="12.75">
      <c r="A6" s="33" t="s">
        <v>32</v>
      </c>
      <c r="B6" s="29"/>
      <c r="C6" s="29"/>
      <c r="D6" s="29"/>
      <c r="E6" s="121"/>
      <c r="F6" s="29"/>
    </row>
    <row r="7" spans="1:6" ht="12.75">
      <c r="A7" s="34" t="s">
        <v>65</v>
      </c>
      <c r="B7" s="44">
        <f>'Program Plan Support'!C9</f>
        <v>0.056</v>
      </c>
      <c r="D7" s="36">
        <f>ROUND(B7*D4,9)</f>
        <v>0.265220874</v>
      </c>
      <c r="E7" s="121"/>
      <c r="F7" s="29"/>
    </row>
    <row r="8" spans="1:6" ht="12.75">
      <c r="A8" s="32"/>
      <c r="B8" s="32"/>
      <c r="C8" s="32"/>
      <c r="D8" s="32"/>
      <c r="E8" s="121"/>
      <c r="F8" s="29"/>
    </row>
    <row r="9" spans="1:6" ht="12.75">
      <c r="A9" s="33" t="s">
        <v>1</v>
      </c>
      <c r="B9" s="29"/>
      <c r="C9" s="29"/>
      <c r="D9" s="29"/>
      <c r="E9" s="121"/>
      <c r="F9" s="29"/>
    </row>
    <row r="10" spans="1:6" ht="12.75">
      <c r="A10" s="34" t="s">
        <v>9</v>
      </c>
      <c r="B10" s="45">
        <f>'Emp. Related Exp.'!C19</f>
        <v>0.236</v>
      </c>
      <c r="C10" s="36"/>
      <c r="D10" s="36">
        <f>ROUND(B10*(D4+D7),10)</f>
        <v>1.1803086672</v>
      </c>
      <c r="E10" s="121"/>
      <c r="F10" s="29"/>
    </row>
    <row r="11" spans="1:6" ht="16.5" customHeight="1">
      <c r="A11" s="32"/>
      <c r="B11" s="32"/>
      <c r="C11" s="32"/>
      <c r="D11" s="32"/>
      <c r="E11" s="121"/>
      <c r="F11" s="29"/>
    </row>
    <row r="12" spans="1:6" ht="12.75">
      <c r="A12" s="33" t="s">
        <v>35</v>
      </c>
      <c r="B12" s="29"/>
      <c r="C12" s="29"/>
      <c r="D12" s="29"/>
      <c r="E12" s="121"/>
      <c r="F12" s="29"/>
    </row>
    <row r="13" spans="1:6" ht="12.75">
      <c r="A13" s="37" t="s">
        <v>36</v>
      </c>
      <c r="B13" s="46">
        <f>'Client Programming &amp; Supports'!C9</f>
        <v>0.1037</v>
      </c>
      <c r="D13" s="38">
        <f>ROUND((D4+D7+D10)*B13,9)</f>
        <v>0.641033639</v>
      </c>
      <c r="E13" s="121"/>
      <c r="F13" s="29"/>
    </row>
    <row r="14" spans="1:6" ht="12.75">
      <c r="A14" s="32"/>
      <c r="B14" s="32"/>
      <c r="C14" s="32"/>
      <c r="D14" s="32"/>
      <c r="E14" s="121"/>
      <c r="F14" s="29"/>
    </row>
    <row r="15" spans="1:6" ht="12.75">
      <c r="A15" s="33" t="s">
        <v>48</v>
      </c>
      <c r="B15" s="29"/>
      <c r="C15" s="29"/>
      <c r="D15" s="29"/>
      <c r="E15" s="121"/>
      <c r="F15" s="29"/>
    </row>
    <row r="16" spans="1:6" ht="12.75">
      <c r="A16" s="37" t="s">
        <v>66</v>
      </c>
      <c r="B16" s="39">
        <f>'Program Facility'!C5</f>
        <v>0.333666666</v>
      </c>
      <c r="D16" s="38">
        <f>B16</f>
        <v>0.333666666</v>
      </c>
      <c r="E16" s="121"/>
      <c r="F16" s="29"/>
    </row>
    <row r="17" spans="1:6" ht="12.75">
      <c r="A17" s="32"/>
      <c r="B17" s="32"/>
      <c r="C17" s="32"/>
      <c r="D17" s="32"/>
      <c r="E17" s="121"/>
      <c r="F17" s="29"/>
    </row>
    <row r="18" spans="1:6" ht="12.75">
      <c r="A18" s="33" t="s">
        <v>13</v>
      </c>
      <c r="B18" s="29"/>
      <c r="C18" s="29"/>
      <c r="D18" s="29"/>
      <c r="E18" s="121"/>
      <c r="F18" s="29"/>
    </row>
    <row r="19" spans="1:6" ht="12.75">
      <c r="A19" s="34" t="s">
        <v>12</v>
      </c>
      <c r="B19" s="47">
        <f>'Program Related Expenses'!E8</f>
        <v>0.1895</v>
      </c>
      <c r="C19" s="36"/>
      <c r="D19" s="36">
        <f>E19-(D4+D7+D10+D13+D16)</f>
        <v>1.6731919177999997</v>
      </c>
      <c r="E19" s="121">
        <f>ROUND((D4+D7+D10+D13+D16)/(1-B19),9)</f>
        <v>8.829508802</v>
      </c>
      <c r="F19" s="29"/>
    </row>
    <row r="20" spans="1:6" ht="12.75">
      <c r="A20" s="101"/>
      <c r="B20" s="102"/>
      <c r="C20" s="36"/>
      <c r="D20" s="36"/>
      <c r="E20" s="121"/>
      <c r="F20" s="29"/>
    </row>
    <row r="21" spans="1:7" ht="12.75">
      <c r="A21" s="33" t="s">
        <v>239</v>
      </c>
      <c r="B21" s="103"/>
      <c r="C21" s="104"/>
      <c r="D21" s="104"/>
      <c r="E21" s="121"/>
      <c r="F21" s="105"/>
      <c r="G21" s="106"/>
    </row>
    <row r="22" spans="1:7" ht="12.75">
      <c r="A22" s="55" t="s">
        <v>240</v>
      </c>
      <c r="B22" s="107" t="str">
        <f>'Regional Variance Factor'!B7</f>
        <v>-</v>
      </c>
      <c r="C22" s="106"/>
      <c r="D22" s="108" t="str">
        <f>IF((B22&lt;&gt;"-"),((E19*B22)-E19),"Select County")</f>
        <v>Select County</v>
      </c>
      <c r="E22" s="121"/>
      <c r="F22" s="105"/>
      <c r="G22" s="109"/>
    </row>
    <row r="23" spans="1:6" ht="12.75">
      <c r="A23" s="32"/>
      <c r="B23" s="32"/>
      <c r="C23" s="32"/>
      <c r="D23" s="32"/>
      <c r="E23" s="121"/>
      <c r="F23" s="29"/>
    </row>
    <row r="24" spans="1:6" ht="12.75">
      <c r="A24" s="40" t="s">
        <v>97</v>
      </c>
      <c r="B24" s="35" t="str">
        <f>D24</f>
        <v>Select County</v>
      </c>
      <c r="D24" s="38" t="str">
        <f>IF((B22&lt;&gt;"-"),E19+D22,"Select County")</f>
        <v>Select County</v>
      </c>
      <c r="E24" s="121"/>
      <c r="F24" s="29"/>
    </row>
    <row r="25" spans="1:6" ht="12.75">
      <c r="A25" s="32"/>
      <c r="B25" s="32"/>
      <c r="C25" s="32"/>
      <c r="D25" s="32"/>
      <c r="E25" s="121"/>
      <c r="F25" s="29"/>
    </row>
    <row r="26" spans="1:8" ht="12.75">
      <c r="A26" s="33" t="s">
        <v>86</v>
      </c>
      <c r="B26" s="122">
        <v>1</v>
      </c>
      <c r="C26" s="106"/>
      <c r="D26" s="106"/>
      <c r="F26" s="106"/>
      <c r="G26" s="110"/>
      <c r="H26" s="111"/>
    </row>
    <row r="27" spans="1:8" ht="12.75">
      <c r="A27" s="55" t="s">
        <v>99</v>
      </c>
      <c r="B27" s="112" t="str">
        <f>IF((B22&lt;&gt;"-"),G29,"-")</f>
        <v>-</v>
      </c>
      <c r="C27" s="106"/>
      <c r="D27" s="113"/>
      <c r="F27" s="106"/>
      <c r="G27" s="114">
        <f>B26</f>
        <v>1</v>
      </c>
      <c r="H27" s="111"/>
    </row>
    <row r="28" spans="1:8" ht="12.75">
      <c r="A28" s="115"/>
      <c r="B28" s="116"/>
      <c r="C28" s="106"/>
      <c r="D28" s="117"/>
      <c r="E28" s="121"/>
      <c r="F28" s="105"/>
      <c r="G28" s="110">
        <f>1-G27</f>
        <v>0</v>
      </c>
      <c r="H28" s="111"/>
    </row>
    <row r="29" spans="1:8" ht="12.75">
      <c r="A29" s="33" t="s">
        <v>266</v>
      </c>
      <c r="C29" s="106"/>
      <c r="D29" s="106"/>
      <c r="F29" s="106"/>
      <c r="G29" s="118" t="e">
        <f>((B24+B22)*G27)-(B24+B22)</f>
        <v>#VALUE!</v>
      </c>
      <c r="H29" s="111"/>
    </row>
    <row r="30" spans="1:8" ht="12.75">
      <c r="A30" s="55" t="s">
        <v>119</v>
      </c>
      <c r="B30" s="39" t="str">
        <f>IF((B22&lt;&gt;"-"),B24+B27,"Select County")</f>
        <v>Select County</v>
      </c>
      <c r="C30" s="106"/>
      <c r="D30" s="106"/>
      <c r="F30" s="106"/>
      <c r="G30" s="106"/>
      <c r="H30" s="119"/>
    </row>
    <row r="31" spans="3:7" ht="12.75">
      <c r="C31" s="106"/>
      <c r="D31" s="106"/>
      <c r="F31" s="106"/>
      <c r="G31" s="106"/>
    </row>
    <row r="32" spans="1:7" ht="12.75" hidden="1">
      <c r="A32" s="33" t="s">
        <v>120</v>
      </c>
      <c r="B32" s="103">
        <v>0.01</v>
      </c>
      <c r="C32" s="106"/>
      <c r="D32" s="106"/>
      <c r="F32" s="106"/>
      <c r="G32" s="106"/>
    </row>
    <row r="33" spans="1:7" ht="12.75" hidden="1">
      <c r="A33" s="55" t="s">
        <v>121</v>
      </c>
      <c r="B33" s="39" t="str">
        <f>IF((B22&lt;&gt;"-"),B32*B30,"-")</f>
        <v>-</v>
      </c>
      <c r="C33" s="106"/>
      <c r="D33" s="106"/>
      <c r="F33" s="106"/>
      <c r="G33" s="106"/>
    </row>
    <row r="34" spans="3:7" ht="12.75" hidden="1">
      <c r="C34" s="106"/>
      <c r="D34" s="106"/>
      <c r="F34" s="106"/>
      <c r="G34" s="106"/>
    </row>
    <row r="35" spans="1:7" ht="12.75" hidden="1">
      <c r="A35" s="33" t="s">
        <v>241</v>
      </c>
      <c r="C35" s="106"/>
      <c r="D35" s="106"/>
      <c r="F35" s="106"/>
      <c r="G35" s="106"/>
    </row>
    <row r="36" spans="1:7" ht="12.75" hidden="1">
      <c r="A36" s="55" t="s">
        <v>122</v>
      </c>
      <c r="B36" s="39" t="str">
        <f>IF(B22&lt;&gt;"-",B33+B30,"-")</f>
        <v>-</v>
      </c>
      <c r="C36" s="106"/>
      <c r="D36" s="106"/>
      <c r="F36" s="106"/>
      <c r="G36" s="106"/>
    </row>
    <row r="37" spans="3:7" ht="12.75" hidden="1">
      <c r="C37" s="106"/>
      <c r="D37" s="106"/>
      <c r="F37" s="106"/>
      <c r="G37" s="106"/>
    </row>
    <row r="38" spans="1:7" ht="12.75" hidden="1">
      <c r="A38" s="33" t="s">
        <v>124</v>
      </c>
      <c r="B38" s="103">
        <v>0.05</v>
      </c>
      <c r="C38" s="106"/>
      <c r="D38" s="106"/>
      <c r="F38" s="106"/>
      <c r="G38" s="106"/>
    </row>
    <row r="39" spans="1:7" ht="12.75" hidden="1">
      <c r="A39" s="55" t="s">
        <v>121</v>
      </c>
      <c r="B39" s="39" t="str">
        <f>IF(B22&lt;&gt;"-",B38*B36,"-")</f>
        <v>-</v>
      </c>
      <c r="C39" s="106"/>
      <c r="D39" s="106"/>
      <c r="F39" s="106"/>
      <c r="G39" s="106"/>
    </row>
    <row r="40" spans="3:7" ht="12.75" hidden="1">
      <c r="C40" s="106"/>
      <c r="D40" s="106"/>
      <c r="F40" s="106"/>
      <c r="G40" s="106"/>
    </row>
    <row r="41" spans="1:7" ht="12.75" hidden="1">
      <c r="A41" s="33" t="s">
        <v>242</v>
      </c>
      <c r="C41" s="106"/>
      <c r="D41" s="106"/>
      <c r="F41" s="106"/>
      <c r="G41" s="106"/>
    </row>
    <row r="42" spans="1:7" ht="12.75" hidden="1">
      <c r="A42" s="55" t="s">
        <v>122</v>
      </c>
      <c r="B42" s="39" t="str">
        <f>IF(B22&lt;&gt;"-",B39+B36,"-")</f>
        <v>-</v>
      </c>
      <c r="C42" s="106"/>
      <c r="D42" s="106"/>
      <c r="F42" s="106"/>
      <c r="G42" s="106"/>
    </row>
    <row r="43" spans="3:7" ht="12.75" hidden="1">
      <c r="C43" s="106"/>
      <c r="D43" s="106"/>
      <c r="F43" s="106"/>
      <c r="G43" s="106"/>
    </row>
    <row r="44" spans="1:7" ht="12.75" hidden="1">
      <c r="A44" s="33" t="s">
        <v>130</v>
      </c>
      <c r="B44" s="103">
        <v>0.01</v>
      </c>
      <c r="C44" s="106"/>
      <c r="D44" s="106"/>
      <c r="F44" s="106"/>
      <c r="G44" s="106"/>
    </row>
    <row r="45" spans="1:7" ht="12.75" hidden="1">
      <c r="A45" s="55" t="s">
        <v>121</v>
      </c>
      <c r="B45" s="39" t="str">
        <f>IF(B22&lt;&gt;"-",B44*B42,"-")</f>
        <v>-</v>
      </c>
      <c r="C45" s="106"/>
      <c r="D45" s="106"/>
      <c r="F45" s="106"/>
      <c r="G45" s="106"/>
    </row>
    <row r="46" spans="3:7" ht="12.75" hidden="1">
      <c r="C46" s="106"/>
      <c r="D46" s="106"/>
      <c r="F46" s="106"/>
      <c r="G46" s="106"/>
    </row>
    <row r="47" spans="1:7" ht="12.75" hidden="1">
      <c r="A47" s="33" t="s">
        <v>243</v>
      </c>
      <c r="C47" s="106"/>
      <c r="D47" s="106"/>
      <c r="F47" s="106"/>
      <c r="G47" s="106"/>
    </row>
    <row r="48" spans="1:7" ht="12.75" hidden="1">
      <c r="A48" s="55" t="s">
        <v>122</v>
      </c>
      <c r="B48" s="39" t="str">
        <f>IF(B22&lt;&gt;"-",B45+B42,"Select County")</f>
        <v>Select County</v>
      </c>
      <c r="C48" s="106"/>
      <c r="D48" s="106"/>
      <c r="F48" s="106"/>
      <c r="G48" s="106"/>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10;"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9"/>
  <sheetViews>
    <sheetView zoomScalePageLayoutView="0" workbookViewId="0" topLeftCell="A1">
      <selection activeCell="A20" sqref="A20"/>
    </sheetView>
  </sheetViews>
  <sheetFormatPr defaultColWidth="9.140625" defaultRowHeight="12.75"/>
  <cols>
    <col min="1" max="1" width="15.140625" style="0" customWidth="1"/>
    <col min="2" max="2" width="47.140625" style="92" customWidth="1"/>
  </cols>
  <sheetData>
    <row r="6" spans="1:3" ht="12.75">
      <c r="A6" s="91">
        <v>41610</v>
      </c>
      <c r="B6" s="92" t="s">
        <v>115</v>
      </c>
      <c r="C6" t="s">
        <v>127</v>
      </c>
    </row>
    <row r="7" spans="1:3" ht="12.75">
      <c r="A7" s="91">
        <v>41684</v>
      </c>
      <c r="B7" s="92" t="s">
        <v>116</v>
      </c>
      <c r="C7" t="s">
        <v>127</v>
      </c>
    </row>
    <row r="8" spans="1:3" ht="25.5">
      <c r="A8" s="91">
        <v>41684</v>
      </c>
      <c r="B8" s="92" t="s">
        <v>117</v>
      </c>
      <c r="C8" t="s">
        <v>127</v>
      </c>
    </row>
    <row r="9" spans="1:3" ht="12.75">
      <c r="A9" s="91">
        <v>41709</v>
      </c>
      <c r="B9" s="92" t="s">
        <v>118</v>
      </c>
      <c r="C9" t="s">
        <v>128</v>
      </c>
    </row>
    <row r="10" spans="1:3" ht="12.75">
      <c r="A10" s="91">
        <v>41808</v>
      </c>
      <c r="B10" s="92" t="s">
        <v>123</v>
      </c>
      <c r="C10" t="s">
        <v>129</v>
      </c>
    </row>
    <row r="11" spans="1:3" ht="12.75">
      <c r="A11" s="91">
        <v>42164</v>
      </c>
      <c r="B11" s="92" t="s">
        <v>125</v>
      </c>
      <c r="C11" t="s">
        <v>126</v>
      </c>
    </row>
    <row r="12" spans="1:3" ht="12.75">
      <c r="A12" s="91">
        <v>42339</v>
      </c>
      <c r="B12" s="92" t="s">
        <v>245</v>
      </c>
      <c r="C12" t="s">
        <v>246</v>
      </c>
    </row>
    <row r="13" spans="1:3" ht="25.5">
      <c r="A13" s="123">
        <v>42522</v>
      </c>
      <c r="B13" s="124" t="s">
        <v>248</v>
      </c>
      <c r="C13" s="125" t="s">
        <v>247</v>
      </c>
    </row>
    <row r="14" spans="1:3" ht="12.75">
      <c r="A14" s="123">
        <v>42522</v>
      </c>
      <c r="B14" s="124" t="s">
        <v>249</v>
      </c>
      <c r="C14" s="125" t="s">
        <v>247</v>
      </c>
    </row>
    <row r="15" spans="1:3" ht="38.25">
      <c r="A15" s="91">
        <v>42522</v>
      </c>
      <c r="B15" s="92" t="s">
        <v>250</v>
      </c>
      <c r="C15" t="s">
        <v>247</v>
      </c>
    </row>
    <row r="16" spans="1:3" ht="25.5">
      <c r="A16" s="91">
        <v>42887</v>
      </c>
      <c r="B16" s="129" t="s">
        <v>251</v>
      </c>
      <c r="C16" s="130" t="s">
        <v>252</v>
      </c>
    </row>
    <row r="17" spans="1:3" ht="12.75">
      <c r="A17" s="91">
        <v>43101</v>
      </c>
      <c r="B17" s="129" t="s">
        <v>254</v>
      </c>
      <c r="C17" s="130" t="s">
        <v>253</v>
      </c>
    </row>
    <row r="18" spans="1:3" ht="12.75">
      <c r="A18" s="91">
        <v>43282</v>
      </c>
      <c r="B18" s="92" t="s">
        <v>267</v>
      </c>
      <c r="C18" s="130" t="s">
        <v>268</v>
      </c>
    </row>
    <row r="19" spans="1:3" ht="12.75">
      <c r="A19" s="91">
        <v>43282</v>
      </c>
      <c r="B19" s="129" t="s">
        <v>269</v>
      </c>
      <c r="C19" s="130" t="s">
        <v>268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2018-04-15T01:28:45Z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R18.3</vt:lpwstr>
  </property>
  <property fmtid="{D5CDD505-2E9C-101B-9397-08002B2CF9AE}" pid="8" name="Sub category-req:">
    <vt:lpwstr>Frameworks</vt:lpwstr>
  </property>
</Properties>
</file>